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4253B63A-C465-4CC1-BFF2-3757AE224F72}" xr6:coauthVersionLast="47" xr6:coauthVersionMax="47" xr10:uidLastSave="{00000000-0000-0000-0000-000000000000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30" sheetId="24" r:id="rId52"/>
    <sheet name="307" sheetId="63" r:id="rId53"/>
    <sheet name="308" sheetId="27" r:id="rId54"/>
    <sheet name="311" sheetId="65" r:id="rId55"/>
    <sheet name="324" sheetId="72" r:id="rId56"/>
    <sheet name="331" sheetId="30" r:id="rId57"/>
    <sheet name="315" sheetId="67" r:id="rId58"/>
    <sheet name="326" sheetId="74" r:id="rId59"/>
    <sheet name="332" sheetId="33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55" sheetId="91" r:id="rId84"/>
    <sheet name="425" sheetId="86" r:id="rId85"/>
    <sheet name="492" sheetId="45" r:id="rId86"/>
    <sheet name="430" sheetId="87" r:id="rId87"/>
    <sheet name="433" sheetId="88" r:id="rId88"/>
    <sheet name="444" sheetId="89" r:id="rId89"/>
    <sheet name="450" sheetId="90" r:id="rId90"/>
    <sheet name="Div 5" sheetId="48" r:id="rId91"/>
    <sheet name="501" sheetId="92" r:id="rId92"/>
    <sheet name="Dept" sheetId="93" state="hidden" r:id="rId93"/>
    <sheet name="OSR_Dept_Y0WUKY" sheetId="94" state="hidden" r:id="rId94"/>
    <sheet name="OSR_Summary (...56e5d78f_5JEYZH" sheetId="95" state="hidden" r:id="rId95"/>
  </sheets>
  <definedNames>
    <definedName name="OSRRefD11_0x" localSheetId="48">'300'!$D$11:$I$11</definedName>
    <definedName name="OSRRefD11_0x" localSheetId="49">'300 &amp; 317'!$D$11:$I$11</definedName>
    <definedName name="OSRRefD11_0x" localSheetId="52">'307'!$D$11:$I$11</definedName>
    <definedName name="OSRRefD11_0x" localSheetId="53">'308'!$D$11:$I$11</definedName>
    <definedName name="OSRRefD11_0x" localSheetId="63">'310'!$D$11:$I$11</definedName>
    <definedName name="OSRRefD11_0x" localSheetId="71">'310 &amp; 491'!$D$11:$I$11</definedName>
    <definedName name="OSRRefD11_0x" localSheetId="54">'311'!$D$11:$I$11</definedName>
    <definedName name="OSRRefD11_0x" localSheetId="57">'315'!$D$11:$I$11</definedName>
    <definedName name="OSRRefD11_0x" localSheetId="60">'316'!$D$11:$I$11</definedName>
    <definedName name="OSRRefD11_0x" localSheetId="62">'317'!$D$11:$I$11</definedName>
    <definedName name="OSRRefD11_0x" localSheetId="66">'321'!$D$11:$I$11</definedName>
    <definedName name="OSRRefD11_0x" localSheetId="55">'324'!$D$11:$I$11</definedName>
    <definedName name="OSRRefD11_0x" localSheetId="68">'325'!$D$11:$I$11</definedName>
    <definedName name="OSRRefD11_0x" localSheetId="58">'326'!$D$11:$I$11</definedName>
    <definedName name="OSRRefD11_0x" localSheetId="69">'327'!$D$11:$I$11</definedName>
    <definedName name="OSRRefD11_0x" localSheetId="51">'330'!$D$11:$I$11</definedName>
    <definedName name="OSRRefD11_0x" localSheetId="56">'331'!$D$11:$I$11</definedName>
    <definedName name="OSRRefD11_0x" localSheetId="59">'332'!$D$11:$I$11</definedName>
    <definedName name="OSRRefD11_0x" localSheetId="73">'405'!$D$11:$I$11</definedName>
    <definedName name="OSRRefD11_0x" localSheetId="79">'415'!$D$11:$I$11</definedName>
    <definedName name="OSRRefD11_0x" localSheetId="80">'418'!$D$11:$I$11</definedName>
    <definedName name="OSRRefD11_0x" localSheetId="84">'425'!$D$11:$I$11</definedName>
    <definedName name="OSRRefD11_0x" localSheetId="87">'433'!$D$11:$I$11</definedName>
    <definedName name="OSRRefD11_0x" localSheetId="88">'444'!$D$11:$I$11</definedName>
    <definedName name="OSRRefD11_0x" localSheetId="89">'450'!$D$11:$I$11</definedName>
    <definedName name="OSRRefD11_0x" localSheetId="72">'491'!$D$11:$I$11</definedName>
    <definedName name="OSRRefD11_0x" localSheetId="85">'492'!$D$11:$I$11</definedName>
    <definedName name="OSRRefD11_0x" localSheetId="91">'501'!$D$11:$I$11</definedName>
    <definedName name="OSRRefD11_0x" localSheetId="47">'Div 3'!$D$11:$I$11</definedName>
    <definedName name="OSRRefD11_0x" localSheetId="70">'Div 4'!$D$11:$I$11</definedName>
    <definedName name="OSRRefD11_0x" localSheetId="90">'Div 5'!$D$11:$I$11</definedName>
    <definedName name="OSRRefD11_0x" localSheetId="61">'Div 6'!$D$11:$I$11</definedName>
    <definedName name="OSRRefD11_0x" localSheetId="2">Summary!$D$11:$I$11</definedName>
    <definedName name="OSRRefD11_10x" localSheetId="2">Summary!$D$21:$I$21</definedName>
    <definedName name="OSRRefD11_1x" localSheetId="48">'300'!$D$12:$I$12</definedName>
    <definedName name="OSRRefD11_1x" localSheetId="49">'300 &amp; 317'!$D$12:$I$12</definedName>
    <definedName name="OSRRefD11_1x" localSheetId="52">'307'!$D$12:$I$12</definedName>
    <definedName name="OSRRefD11_1x" localSheetId="53">'308'!$D$12:$I$12</definedName>
    <definedName name="OSRRefD11_1x" localSheetId="63">'310'!$D$12:$I$12</definedName>
    <definedName name="OSRRefD11_1x" localSheetId="71">'310 &amp; 491'!$D$12:$I$12</definedName>
    <definedName name="OSRRefD11_1x" localSheetId="54">'311'!$D$12:$I$12</definedName>
    <definedName name="OSRRefD11_1x" localSheetId="57">'315'!$D$12:$I$12</definedName>
    <definedName name="OSRRefD11_1x" localSheetId="60">'316'!$D$12:$I$12</definedName>
    <definedName name="OSRRefD11_1x" localSheetId="62">'317'!$D$12:$I$12</definedName>
    <definedName name="OSRRefD11_1x" localSheetId="66">'321'!$D$12:$I$12</definedName>
    <definedName name="OSRRefD11_1x" localSheetId="55">'324'!$D$12:$I$12</definedName>
    <definedName name="OSRRefD11_1x" localSheetId="68">'325'!$D$12:$I$12</definedName>
    <definedName name="OSRRefD11_1x" localSheetId="58">'326'!$D$12:$I$12</definedName>
    <definedName name="OSRRefD11_1x" localSheetId="69">'327'!$D$12:$I$12</definedName>
    <definedName name="OSRRefD11_1x" localSheetId="51">'330'!$D$12:$I$12</definedName>
    <definedName name="OSRRefD11_1x" localSheetId="56">'331'!$D$12:$I$12</definedName>
    <definedName name="OSRRefD11_1x" localSheetId="59">'332'!$D$12:$I$12</definedName>
    <definedName name="OSRRefD11_1x" localSheetId="73">'405'!$D$12:$I$12</definedName>
    <definedName name="OSRRefD11_1x" localSheetId="79">'415'!$D$12:$I$12</definedName>
    <definedName name="OSRRefD11_1x" localSheetId="80">'418'!$D$12:$I$12</definedName>
    <definedName name="OSRRefD11_1x" localSheetId="87">'433'!$D$12:$I$12</definedName>
    <definedName name="OSRRefD11_1x" localSheetId="88">'444'!$D$12:$I$12</definedName>
    <definedName name="OSRRefD11_1x" localSheetId="89">'450'!$D$12:$I$12</definedName>
    <definedName name="OSRRefD11_1x" localSheetId="72">'491'!$D$12:$I$12</definedName>
    <definedName name="OSRRefD11_1x" localSheetId="85">'492'!$D$12:$I$12</definedName>
    <definedName name="OSRRefD11_1x" localSheetId="47">'Div 3'!$D$12:$I$12</definedName>
    <definedName name="OSRRefD11_1x" localSheetId="70">'Div 4'!$D$12:$I$12</definedName>
    <definedName name="OSRRefD11_1x" localSheetId="61">'Div 6'!$D$12:$I$12</definedName>
    <definedName name="OSRRefD11_1x" localSheetId="2">Summary!$D$12:$I$12</definedName>
    <definedName name="OSRRefD11_2x" localSheetId="48">'300'!$D$13:$I$13</definedName>
    <definedName name="OSRRefD11_2x" localSheetId="49">'300 &amp; 317'!$D$13:$I$13</definedName>
    <definedName name="OSRRefD11_2x" localSheetId="52">'307'!$D$13:$I$13</definedName>
    <definedName name="OSRRefD11_2x" localSheetId="53">'308'!$D$13:$I$13</definedName>
    <definedName name="OSRRefD11_2x" localSheetId="63">'310'!$D$13:$I$13</definedName>
    <definedName name="OSRRefD11_2x" localSheetId="71">'310 &amp; 491'!$D$13:$I$13</definedName>
    <definedName name="OSRRefD11_2x" localSheetId="54">'311'!$D$13:$I$13</definedName>
    <definedName name="OSRRefD11_2x" localSheetId="57">'315'!$D$13:$I$13</definedName>
    <definedName name="OSRRefD11_2x" localSheetId="60">'316'!$D$13:$I$13</definedName>
    <definedName name="OSRRefD11_2x" localSheetId="62">'317'!$D$13:$I$13</definedName>
    <definedName name="OSRRefD11_2x" localSheetId="58">'326'!$D$13:$I$13</definedName>
    <definedName name="OSRRefD11_2x" localSheetId="69">'327'!$D$13:$I$13</definedName>
    <definedName name="OSRRefD11_2x" localSheetId="51">'330'!$D$13:$I$13</definedName>
    <definedName name="OSRRefD11_2x" localSheetId="56">'331'!$D$13:$I$13</definedName>
    <definedName name="OSRRefD11_2x" localSheetId="59">'332'!$D$13:$I$13</definedName>
    <definedName name="OSRRefD11_2x" localSheetId="73">'405'!$D$13:$I$13</definedName>
    <definedName name="OSRRefD11_2x" localSheetId="79">'415'!$D$13:$I$13</definedName>
    <definedName name="OSRRefD11_2x" localSheetId="87">'433'!$D$13:$I$13</definedName>
    <definedName name="OSRRefD11_2x" localSheetId="88">'444'!$D$13:$I$13</definedName>
    <definedName name="OSRRefD11_2x" localSheetId="89">'450'!$D$13:$I$13</definedName>
    <definedName name="OSRRefD11_2x" localSheetId="72">'491'!$D$13:$I$13</definedName>
    <definedName name="OSRRefD11_2x" localSheetId="85">'492'!$D$13:$I$13</definedName>
    <definedName name="OSRRefD11_2x" localSheetId="47">'Div 3'!$D$13:$I$13</definedName>
    <definedName name="OSRRefD11_2x" localSheetId="70">'Div 4'!$D$13:$I$13</definedName>
    <definedName name="OSRRefD11_2x" localSheetId="61">'Div 6'!$D$13:$I$13</definedName>
    <definedName name="OSRRefD11_2x" localSheetId="2">Summary!$D$13:$I$13</definedName>
    <definedName name="OSRRefD11_3x" localSheetId="48">'300'!$D$14:$I$14</definedName>
    <definedName name="OSRRefD11_3x" localSheetId="49">'300 &amp; 317'!$D$14:$I$14</definedName>
    <definedName name="OSRRefD11_3x" localSheetId="52">'307'!$D$14:$I$14</definedName>
    <definedName name="OSRRefD11_3x" localSheetId="53">'308'!$D$14:$I$14</definedName>
    <definedName name="OSRRefD11_3x" localSheetId="63">'310'!$D$14:$I$14</definedName>
    <definedName name="OSRRefD11_3x" localSheetId="71">'310 &amp; 491'!$D$14:$I$14</definedName>
    <definedName name="OSRRefD11_3x" localSheetId="54">'311'!$D$14:$I$14</definedName>
    <definedName name="OSRRefD11_3x" localSheetId="57">'315'!$D$14:$I$14</definedName>
    <definedName name="OSRRefD11_3x" localSheetId="60">'316'!$D$14:$I$14</definedName>
    <definedName name="OSRRefD11_3x" localSheetId="62">'317'!$D$14:$I$14</definedName>
    <definedName name="OSRRefD11_3x" localSheetId="58">'326'!$D$14:$I$14</definedName>
    <definedName name="OSRRefD11_3x" localSheetId="51">'330'!$D$14:$I$14</definedName>
    <definedName name="OSRRefD11_3x" localSheetId="56">'331'!$D$14:$I$14</definedName>
    <definedName name="OSRRefD11_3x" localSheetId="59">'332'!$D$14:$I$14</definedName>
    <definedName name="OSRRefD11_3x" localSheetId="73">'405'!$D$14:$I$14</definedName>
    <definedName name="OSRRefD11_3x" localSheetId="79">'415'!$D$14:$I$14</definedName>
    <definedName name="OSRRefD11_3x" localSheetId="87">'433'!$D$14:$I$14</definedName>
    <definedName name="OSRRefD11_3x" localSheetId="88">'444'!$D$14:$I$14</definedName>
    <definedName name="OSRRefD11_3x" localSheetId="89">'450'!$D$14:$I$14</definedName>
    <definedName name="OSRRefD11_3x" localSheetId="72">'491'!$D$14:$I$14</definedName>
    <definedName name="OSRRefD11_3x" localSheetId="85">'492'!$D$14:$I$14</definedName>
    <definedName name="OSRRefD11_3x" localSheetId="47">'Div 3'!$D$14:$I$14</definedName>
    <definedName name="OSRRefD11_3x" localSheetId="70">'Div 4'!$D$14:$I$14</definedName>
    <definedName name="OSRRefD11_3x" localSheetId="61">'Div 6'!$D$14:$I$14</definedName>
    <definedName name="OSRRefD11_3x" localSheetId="2">Summary!$D$14:$I$14</definedName>
    <definedName name="OSRRefD11_4x" localSheetId="48">'300'!$D$15:$I$15</definedName>
    <definedName name="OSRRefD11_4x" localSheetId="49">'300 &amp; 317'!$D$15:$I$15</definedName>
    <definedName name="OSRRefD11_4x" localSheetId="53">'308'!$D$15:$I$15</definedName>
    <definedName name="OSRRefD11_4x" localSheetId="71">'310 &amp; 491'!$D$15:$I$15</definedName>
    <definedName name="OSRRefD11_4x" localSheetId="54">'311'!$D$15:$I$15</definedName>
    <definedName name="OSRRefD11_4x" localSheetId="57">'315'!$D$15:$I$15</definedName>
    <definedName name="OSRRefD11_4x" localSheetId="60">'316'!$D$15:$I$15</definedName>
    <definedName name="OSRRefD11_4x" localSheetId="62">'317'!$D$15:$I$15</definedName>
    <definedName name="OSRRefD11_4x" localSheetId="56">'331'!$D$15:$I$15</definedName>
    <definedName name="OSRRefD11_4x" localSheetId="59">'332'!$D$15:$I$15</definedName>
    <definedName name="OSRRefD11_4x" localSheetId="72">'491'!$D$15:$I$15</definedName>
    <definedName name="OSRRefD11_4x" localSheetId="47">'Div 3'!$D$15:$I$15</definedName>
    <definedName name="OSRRefD11_4x" localSheetId="70">'Div 4'!$D$15:$I$15</definedName>
    <definedName name="OSRRefD11_4x" localSheetId="61">'Div 6'!$D$15:$I$15</definedName>
    <definedName name="OSRRefD11_4x" localSheetId="2">Summary!$D$15:$I$15</definedName>
    <definedName name="OSRRefD11_5x" localSheetId="48">'300'!$D$16:$I$16</definedName>
    <definedName name="OSRRefD11_5x" localSheetId="49">'300 &amp; 317'!$D$16:$I$16</definedName>
    <definedName name="OSRRefD11_5x" localSheetId="71">'310 &amp; 491'!$D$16:$I$16</definedName>
    <definedName name="OSRRefD11_5x" localSheetId="47">'Div 3'!$D$16:$I$16</definedName>
    <definedName name="OSRRefD11_5x" localSheetId="70">'Div 4'!$D$16:$I$16</definedName>
    <definedName name="OSRRefD11_5x" localSheetId="2">Summary!$D$16:$I$16</definedName>
    <definedName name="OSRRefD11_6x" localSheetId="48">'300'!$D$17:$I$17</definedName>
    <definedName name="OSRRefD11_6x" localSheetId="49">'300 &amp; 317'!$D$17:$I$17</definedName>
    <definedName name="OSRRefD11_6x" localSheetId="47">'Div 3'!$D$17:$I$17</definedName>
    <definedName name="OSRRefD11_6x" localSheetId="2">Summary!$D$17:$I$17</definedName>
    <definedName name="OSRRefD11_7x" localSheetId="47">'Div 3'!$D$18:$I$18</definedName>
    <definedName name="OSRRefD11_7x" localSheetId="2">Summary!$D$18:$I$18</definedName>
    <definedName name="OSRRefD11_8x" localSheetId="47">'Div 3'!$D$19:$I$19</definedName>
    <definedName name="OSRRefD11_8x" localSheetId="2">Summary!$D$19:$I$19</definedName>
    <definedName name="OSRRefD11_9x" localSheetId="2">Summary!$D$20:$I$20</definedName>
    <definedName name="OSRRefD11x_0" localSheetId="48">'300'!$D$11:$D$17</definedName>
    <definedName name="OSRRefD11x_0" localSheetId="49">'300 &amp; 317'!$D$11:$D$17</definedName>
    <definedName name="OSRRefD11x_0" localSheetId="52">'307'!$D$11:$D$14</definedName>
    <definedName name="OSRRefD11x_0" localSheetId="53">'308'!$D$11:$D$15</definedName>
    <definedName name="OSRRefD11x_0" localSheetId="63">'310'!$D$11:$D$14</definedName>
    <definedName name="OSRRefD11x_0" localSheetId="71">'310 &amp; 491'!$D$11:$D$16</definedName>
    <definedName name="OSRRefD11x_0" localSheetId="54">'311'!$D$11:$D$15</definedName>
    <definedName name="OSRRefD11x_0" localSheetId="57">'315'!$D$11:$D$15</definedName>
    <definedName name="OSRRefD11x_0" localSheetId="60">'316'!$D$11:$D$15</definedName>
    <definedName name="OSRRefD11x_0" localSheetId="62">'317'!$D$11:$D$15</definedName>
    <definedName name="OSRRefD11x_0" localSheetId="66">'321'!$D$11:$D$12</definedName>
    <definedName name="OSRRefD11x_0" localSheetId="55">'324'!$D$11:$D$12</definedName>
    <definedName name="OSRRefD11x_0" localSheetId="68">'325'!$D$11:$D$12</definedName>
    <definedName name="OSRRefD11x_0" localSheetId="58">'326'!$D$11:$D$14</definedName>
    <definedName name="OSRRefD11x_0" localSheetId="69">'327'!$D$11:$D$13</definedName>
    <definedName name="OSRRefD11x_0" localSheetId="51">'330'!$D$11:$D$14</definedName>
    <definedName name="OSRRefD11x_0" localSheetId="56">'331'!$D$11:$D$15</definedName>
    <definedName name="OSRRefD11x_0" localSheetId="59">'332'!$D$11:$D$15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4">'425'!$D$11</definedName>
    <definedName name="OSRRefD11x_0" localSheetId="87">'433'!$D$11:$D$14</definedName>
    <definedName name="OSRRefD11x_0" localSheetId="88">'444'!$D$11:$D$14</definedName>
    <definedName name="OSRRefD11x_0" localSheetId="89">'450'!$D$11:$D$14</definedName>
    <definedName name="OSRRefD11x_0" localSheetId="72">'491'!$D$11:$D$15</definedName>
    <definedName name="OSRRefD11x_0" localSheetId="85">'492'!$D$11:$D$14</definedName>
    <definedName name="OSRRefD11x_0" localSheetId="91">'501'!$D$11</definedName>
    <definedName name="OSRRefD11x_0" localSheetId="47">'Div 3'!$D$11:$D$19</definedName>
    <definedName name="OSRRefD11x_0" localSheetId="70">'Div 4'!$D$11:$D$16</definedName>
    <definedName name="OSRRefD11x_0" localSheetId="90">'Div 5'!$D$11</definedName>
    <definedName name="OSRRefD11x_0" localSheetId="61">'Div 6'!$D$11:$D$15</definedName>
    <definedName name="OSRRefD11x_0" localSheetId="2">Summary!$D$11:$D$21</definedName>
    <definedName name="OSRRefD11x_1" localSheetId="48">'300'!$E$11:$E$17</definedName>
    <definedName name="OSRRefD11x_1" localSheetId="49">'300 &amp; 317'!$E$11:$E$17</definedName>
    <definedName name="OSRRefD11x_1" localSheetId="52">'307'!$E$11:$E$14</definedName>
    <definedName name="OSRRefD11x_1" localSheetId="53">'308'!$E$11:$E$15</definedName>
    <definedName name="OSRRefD11x_1" localSheetId="63">'310'!$E$11:$E$14</definedName>
    <definedName name="OSRRefD11x_1" localSheetId="71">'310 &amp; 491'!$E$11:$E$16</definedName>
    <definedName name="OSRRefD11x_1" localSheetId="54">'311'!$E$11:$E$15</definedName>
    <definedName name="OSRRefD11x_1" localSheetId="57">'315'!$E$11:$E$15</definedName>
    <definedName name="OSRRefD11x_1" localSheetId="60">'316'!$E$11:$E$15</definedName>
    <definedName name="OSRRefD11x_1" localSheetId="62">'317'!$E$11:$E$15</definedName>
    <definedName name="OSRRefD11x_1" localSheetId="66">'321'!$E$11:$E$12</definedName>
    <definedName name="OSRRefD11x_1" localSheetId="55">'324'!$E$11:$E$12</definedName>
    <definedName name="OSRRefD11x_1" localSheetId="68">'325'!$E$11:$E$12</definedName>
    <definedName name="OSRRefD11x_1" localSheetId="58">'326'!$E$11:$E$14</definedName>
    <definedName name="OSRRefD11x_1" localSheetId="69">'327'!$E$11:$E$13</definedName>
    <definedName name="OSRRefD11x_1" localSheetId="51">'330'!$E$11:$E$14</definedName>
    <definedName name="OSRRefD11x_1" localSheetId="56">'331'!$E$11:$E$15</definedName>
    <definedName name="OSRRefD11x_1" localSheetId="59">'332'!$E$11:$E$15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4">'425'!$E$11</definedName>
    <definedName name="OSRRefD11x_1" localSheetId="87">'433'!$E$11:$E$14</definedName>
    <definedName name="OSRRefD11x_1" localSheetId="88">'444'!$E$11:$E$14</definedName>
    <definedName name="OSRRefD11x_1" localSheetId="89">'450'!$E$11:$E$14</definedName>
    <definedName name="OSRRefD11x_1" localSheetId="72">'491'!$E$11:$E$15</definedName>
    <definedName name="OSRRefD11x_1" localSheetId="85">'492'!$E$11:$E$14</definedName>
    <definedName name="OSRRefD11x_1" localSheetId="91">'501'!$E$11</definedName>
    <definedName name="OSRRefD11x_1" localSheetId="47">'Div 3'!$E$11:$E$19</definedName>
    <definedName name="OSRRefD11x_1" localSheetId="70">'Div 4'!$E$11:$E$16</definedName>
    <definedName name="OSRRefD11x_1" localSheetId="90">'Div 5'!$E$11</definedName>
    <definedName name="OSRRefD11x_1" localSheetId="61">'Div 6'!$E$11:$E$15</definedName>
    <definedName name="OSRRefD11x_1" localSheetId="2">Summary!$E$11:$E$21</definedName>
    <definedName name="OSRRefD11x_2" localSheetId="48">'300'!$F$11:$F$17</definedName>
    <definedName name="OSRRefD11x_2" localSheetId="49">'300 &amp; 317'!$F$11:$F$17</definedName>
    <definedName name="OSRRefD11x_2" localSheetId="52">'307'!$F$11:$F$14</definedName>
    <definedName name="OSRRefD11x_2" localSheetId="53">'308'!$F$11:$F$15</definedName>
    <definedName name="OSRRefD11x_2" localSheetId="63">'310'!$F$11:$F$14</definedName>
    <definedName name="OSRRefD11x_2" localSheetId="71">'310 &amp; 491'!$F$11:$F$16</definedName>
    <definedName name="OSRRefD11x_2" localSheetId="54">'311'!$F$11:$F$15</definedName>
    <definedName name="OSRRefD11x_2" localSheetId="57">'315'!$F$11:$F$15</definedName>
    <definedName name="OSRRefD11x_2" localSheetId="60">'316'!$F$11:$F$15</definedName>
    <definedName name="OSRRefD11x_2" localSheetId="62">'317'!$F$11:$F$15</definedName>
    <definedName name="OSRRefD11x_2" localSheetId="66">'321'!$F$11:$F$12</definedName>
    <definedName name="OSRRefD11x_2" localSheetId="55">'324'!$F$11:$F$12</definedName>
    <definedName name="OSRRefD11x_2" localSheetId="68">'325'!$F$11:$F$12</definedName>
    <definedName name="OSRRefD11x_2" localSheetId="58">'326'!$F$11:$F$14</definedName>
    <definedName name="OSRRefD11x_2" localSheetId="69">'327'!$F$11:$F$13</definedName>
    <definedName name="OSRRefD11x_2" localSheetId="51">'330'!$F$11:$F$14</definedName>
    <definedName name="OSRRefD11x_2" localSheetId="56">'331'!$F$11:$F$15</definedName>
    <definedName name="OSRRefD11x_2" localSheetId="59">'332'!$F$11:$F$15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4">'425'!$F$11</definedName>
    <definedName name="OSRRefD11x_2" localSheetId="87">'433'!$F$11:$F$14</definedName>
    <definedName name="OSRRefD11x_2" localSheetId="88">'444'!$F$11:$F$14</definedName>
    <definedName name="OSRRefD11x_2" localSheetId="89">'450'!$F$11:$F$14</definedName>
    <definedName name="OSRRefD11x_2" localSheetId="72">'491'!$F$11:$F$15</definedName>
    <definedName name="OSRRefD11x_2" localSheetId="85">'492'!$F$11:$F$14</definedName>
    <definedName name="OSRRefD11x_2" localSheetId="91">'501'!$F$11</definedName>
    <definedName name="OSRRefD11x_2" localSheetId="47">'Div 3'!$F$11:$F$19</definedName>
    <definedName name="OSRRefD11x_2" localSheetId="70">'Div 4'!$F$11:$F$16</definedName>
    <definedName name="OSRRefD11x_2" localSheetId="90">'Div 5'!$F$11</definedName>
    <definedName name="OSRRefD11x_2" localSheetId="61">'Div 6'!$F$11:$F$15</definedName>
    <definedName name="OSRRefD11x_2" localSheetId="2">Summary!$F$11:$F$21</definedName>
    <definedName name="OSRRefD11x_3" localSheetId="48">'300'!$G$11:$G$17</definedName>
    <definedName name="OSRRefD11x_3" localSheetId="49">'300 &amp; 317'!$G$11:$G$17</definedName>
    <definedName name="OSRRefD11x_3" localSheetId="52">'307'!$G$11:$G$14</definedName>
    <definedName name="OSRRefD11x_3" localSheetId="53">'308'!$G$11:$G$15</definedName>
    <definedName name="OSRRefD11x_3" localSheetId="63">'310'!$G$11:$G$14</definedName>
    <definedName name="OSRRefD11x_3" localSheetId="71">'310 &amp; 491'!$G$11:$G$16</definedName>
    <definedName name="OSRRefD11x_3" localSheetId="54">'311'!$G$11:$G$15</definedName>
    <definedName name="OSRRefD11x_3" localSheetId="57">'315'!$G$11:$G$15</definedName>
    <definedName name="OSRRefD11x_3" localSheetId="60">'316'!$G$11:$G$15</definedName>
    <definedName name="OSRRefD11x_3" localSheetId="62">'317'!$G$11:$G$15</definedName>
    <definedName name="OSRRefD11x_3" localSheetId="66">'321'!$G$11:$G$12</definedName>
    <definedName name="OSRRefD11x_3" localSheetId="55">'324'!$G$11:$G$12</definedName>
    <definedName name="OSRRefD11x_3" localSheetId="68">'325'!$G$11:$G$12</definedName>
    <definedName name="OSRRefD11x_3" localSheetId="58">'326'!$G$11:$G$14</definedName>
    <definedName name="OSRRefD11x_3" localSheetId="69">'327'!$G$11:$G$13</definedName>
    <definedName name="OSRRefD11x_3" localSheetId="51">'330'!$G$11:$G$14</definedName>
    <definedName name="OSRRefD11x_3" localSheetId="56">'331'!$G$11:$G$15</definedName>
    <definedName name="OSRRefD11x_3" localSheetId="59">'332'!$G$11:$G$15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4">'425'!$G$11</definedName>
    <definedName name="OSRRefD11x_3" localSheetId="87">'433'!$G$11:$G$14</definedName>
    <definedName name="OSRRefD11x_3" localSheetId="88">'444'!$G$11:$G$14</definedName>
    <definedName name="OSRRefD11x_3" localSheetId="89">'450'!$G$11:$G$14</definedName>
    <definedName name="OSRRefD11x_3" localSheetId="72">'491'!$G$11:$G$15</definedName>
    <definedName name="OSRRefD11x_3" localSheetId="85">'492'!$G$11:$G$14</definedName>
    <definedName name="OSRRefD11x_3" localSheetId="91">'501'!$G$11</definedName>
    <definedName name="OSRRefD11x_3" localSheetId="47">'Div 3'!$G$11:$G$19</definedName>
    <definedName name="OSRRefD11x_3" localSheetId="70">'Div 4'!$G$11:$G$16</definedName>
    <definedName name="OSRRefD11x_3" localSheetId="90">'Div 5'!$G$11</definedName>
    <definedName name="OSRRefD11x_3" localSheetId="61">'Div 6'!$G$11:$G$15</definedName>
    <definedName name="OSRRefD11x_3" localSheetId="2">Summary!$G$11:$G$21</definedName>
    <definedName name="OSRRefD11x_4" localSheetId="48">'300'!$H$11:$H$17</definedName>
    <definedName name="OSRRefD11x_4" localSheetId="49">'300 &amp; 317'!$H$11:$H$17</definedName>
    <definedName name="OSRRefD11x_4" localSheetId="52">'307'!$H$11:$H$14</definedName>
    <definedName name="OSRRefD11x_4" localSheetId="53">'308'!$H$11:$H$15</definedName>
    <definedName name="OSRRefD11x_4" localSheetId="63">'310'!$H$11:$H$14</definedName>
    <definedName name="OSRRefD11x_4" localSheetId="71">'310 &amp; 491'!$H$11:$H$16</definedName>
    <definedName name="OSRRefD11x_4" localSheetId="54">'311'!$H$11:$H$15</definedName>
    <definedName name="OSRRefD11x_4" localSheetId="57">'315'!$H$11:$H$15</definedName>
    <definedName name="OSRRefD11x_4" localSheetId="60">'316'!$H$11:$H$15</definedName>
    <definedName name="OSRRefD11x_4" localSheetId="62">'317'!$H$11:$H$15</definedName>
    <definedName name="OSRRefD11x_4" localSheetId="66">'321'!$H$11:$H$12</definedName>
    <definedName name="OSRRefD11x_4" localSheetId="55">'324'!$H$11:$H$12</definedName>
    <definedName name="OSRRefD11x_4" localSheetId="68">'325'!$H$11:$H$12</definedName>
    <definedName name="OSRRefD11x_4" localSheetId="58">'326'!$H$11:$H$14</definedName>
    <definedName name="OSRRefD11x_4" localSheetId="69">'327'!$H$11:$H$13</definedName>
    <definedName name="OSRRefD11x_4" localSheetId="51">'330'!$H$11:$H$14</definedName>
    <definedName name="OSRRefD11x_4" localSheetId="56">'331'!$H$11:$H$15</definedName>
    <definedName name="OSRRefD11x_4" localSheetId="59">'332'!$H$11:$H$15</definedName>
    <definedName name="OSRRefD11x_4" localSheetId="73">'405'!$H$11:$H$14</definedName>
    <definedName name="OSRRefD11x_4" localSheetId="79">'415'!$H$11:$H$14</definedName>
    <definedName name="OSRRefD11x_4" localSheetId="80">'418'!$H$11:$H$12</definedName>
    <definedName name="OSRRefD11x_4" localSheetId="84">'425'!$H$11</definedName>
    <definedName name="OSRRefD11x_4" localSheetId="87">'433'!$H$11:$H$14</definedName>
    <definedName name="OSRRefD11x_4" localSheetId="88">'444'!$H$11:$H$14</definedName>
    <definedName name="OSRRefD11x_4" localSheetId="89">'450'!$H$11:$H$14</definedName>
    <definedName name="OSRRefD11x_4" localSheetId="72">'491'!$H$11:$H$15</definedName>
    <definedName name="OSRRefD11x_4" localSheetId="85">'492'!$H$11:$H$14</definedName>
    <definedName name="OSRRefD11x_4" localSheetId="91">'501'!$H$11</definedName>
    <definedName name="OSRRefD11x_4" localSheetId="47">'Div 3'!$H$11:$H$19</definedName>
    <definedName name="OSRRefD11x_4" localSheetId="70">'Div 4'!$H$11:$H$16</definedName>
    <definedName name="OSRRefD11x_4" localSheetId="90">'Div 5'!$H$11</definedName>
    <definedName name="OSRRefD11x_4" localSheetId="61">'Div 6'!$H$11:$H$15</definedName>
    <definedName name="OSRRefD11x_4" localSheetId="2">Summary!$H$11:$H$21</definedName>
    <definedName name="OSRRefD11x_5" localSheetId="48">'300'!$I$11:$I$17</definedName>
    <definedName name="OSRRefD11x_5" localSheetId="49">'300 &amp; 317'!$I$11:$I$17</definedName>
    <definedName name="OSRRefD11x_5" localSheetId="52">'307'!$I$11:$I$14</definedName>
    <definedName name="OSRRefD11x_5" localSheetId="53">'308'!$I$11:$I$15</definedName>
    <definedName name="OSRRefD11x_5" localSheetId="63">'310'!$I$11:$I$14</definedName>
    <definedName name="OSRRefD11x_5" localSheetId="71">'310 &amp; 491'!$I$11:$I$16</definedName>
    <definedName name="OSRRefD11x_5" localSheetId="54">'311'!$I$11:$I$15</definedName>
    <definedName name="OSRRefD11x_5" localSheetId="57">'315'!$I$11:$I$15</definedName>
    <definedName name="OSRRefD11x_5" localSheetId="60">'316'!$I$11:$I$15</definedName>
    <definedName name="OSRRefD11x_5" localSheetId="62">'317'!$I$11:$I$15</definedName>
    <definedName name="OSRRefD11x_5" localSheetId="66">'321'!$I$11:$I$12</definedName>
    <definedName name="OSRRefD11x_5" localSheetId="55">'324'!$I$11:$I$12</definedName>
    <definedName name="OSRRefD11x_5" localSheetId="68">'325'!$I$11:$I$12</definedName>
    <definedName name="OSRRefD11x_5" localSheetId="58">'326'!$I$11:$I$14</definedName>
    <definedName name="OSRRefD11x_5" localSheetId="69">'327'!$I$11:$I$13</definedName>
    <definedName name="OSRRefD11x_5" localSheetId="51">'330'!$I$11:$I$14</definedName>
    <definedName name="OSRRefD11x_5" localSheetId="56">'331'!$I$11:$I$15</definedName>
    <definedName name="OSRRefD11x_5" localSheetId="59">'332'!$I$11:$I$15</definedName>
    <definedName name="OSRRefD11x_5" localSheetId="73">'405'!$I$11:$I$14</definedName>
    <definedName name="OSRRefD11x_5" localSheetId="79">'415'!$I$11:$I$14</definedName>
    <definedName name="OSRRefD11x_5" localSheetId="80">'418'!$I$11:$I$12</definedName>
    <definedName name="OSRRefD11x_5" localSheetId="84">'425'!$I$11</definedName>
    <definedName name="OSRRefD11x_5" localSheetId="87">'433'!$I$11:$I$14</definedName>
    <definedName name="OSRRefD11x_5" localSheetId="88">'444'!$I$11:$I$14</definedName>
    <definedName name="OSRRefD11x_5" localSheetId="89">'450'!$I$11:$I$14</definedName>
    <definedName name="OSRRefD11x_5" localSheetId="72">'491'!$I$11:$I$15</definedName>
    <definedName name="OSRRefD11x_5" localSheetId="85">'492'!$I$11:$I$14</definedName>
    <definedName name="OSRRefD11x_5" localSheetId="91">'501'!$I$11</definedName>
    <definedName name="OSRRefD11x_5" localSheetId="47">'Div 3'!$I$11:$I$19</definedName>
    <definedName name="OSRRefD11x_5" localSheetId="70">'Div 4'!$I$11:$I$16</definedName>
    <definedName name="OSRRefD11x_5" localSheetId="90">'Div 5'!$I$11</definedName>
    <definedName name="OSRRefD11x_5" localSheetId="61">'Div 6'!$I$11:$I$15</definedName>
    <definedName name="OSRRefD11x_5" localSheetId="2">Summary!$I$11:$I$21</definedName>
    <definedName name="OSRRefD14_0x" localSheetId="48">'300'!$D$20:$I$20</definedName>
    <definedName name="OSRRefD14_0x" localSheetId="49">'300 &amp; 317'!$D$20:$I$20</definedName>
    <definedName name="OSRRefD14_0x" localSheetId="50">'301'!$D$13:$I$13</definedName>
    <definedName name="OSRRefD14_0x" localSheetId="52">'307'!$D$17:$I$17</definedName>
    <definedName name="OSRRefD14_0x" localSheetId="53">'308'!$D$18:$I$18</definedName>
    <definedName name="OSRRefD14_0x" localSheetId="63">'310'!$D$17:$I$17</definedName>
    <definedName name="OSRRefD14_0x" localSheetId="71">'310 &amp; 491'!$D$19:$I$19</definedName>
    <definedName name="OSRRefD14_0x" localSheetId="54">'311'!$D$18:$I$18</definedName>
    <definedName name="OSRRefD14_0x" localSheetId="57">'315'!$D$18:$I$18</definedName>
    <definedName name="OSRRefD14_0x" localSheetId="60">'316'!$D$18:$I$18</definedName>
    <definedName name="OSRRefD14_0x" localSheetId="62">'317'!$D$18:$I$18</definedName>
    <definedName name="OSRRefD14_0x" localSheetId="66">'321'!$D$15:$I$15</definedName>
    <definedName name="OSRRefD14_0x" localSheetId="55">'324'!$D$15:$I$15</definedName>
    <definedName name="OSRRefD14_0x" localSheetId="68">'325'!$D$15:$I$15</definedName>
    <definedName name="OSRRefD14_0x" localSheetId="58">'326'!$D$17:$I$17</definedName>
    <definedName name="OSRRefD14_0x" localSheetId="69">'327'!$D$16:$I$16</definedName>
    <definedName name="OSRRefD14_0x" localSheetId="51">'330'!$D$17:$I$17</definedName>
    <definedName name="OSRRefD14_0x" localSheetId="56">'331'!$D$18:$I$18</definedName>
    <definedName name="OSRRefD14_0x" localSheetId="59">'332'!$D$18:$I$18</definedName>
    <definedName name="OSRRefD14_0x" localSheetId="73">'405'!$D$17:$I$17</definedName>
    <definedName name="OSRRefD14_0x" localSheetId="79">'415'!$D$17:$I$17</definedName>
    <definedName name="OSRRefD14_0x" localSheetId="80">'418'!$D$15:$I$15</definedName>
    <definedName name="OSRRefD14_0x" localSheetId="84">'425'!$D$14:$I$14</definedName>
    <definedName name="OSRRefD14_0x" localSheetId="87">'433'!$D$17:$I$17</definedName>
    <definedName name="OSRRefD14_0x" localSheetId="88">'444'!$D$17:$I$17</definedName>
    <definedName name="OSRRefD14_0x" localSheetId="89">'450'!$D$17:$I$17</definedName>
    <definedName name="OSRRefD14_0x" localSheetId="72">'491'!$D$18:$I$18</definedName>
    <definedName name="OSRRefD14_0x" localSheetId="85">'492'!$D$17:$I$17</definedName>
    <definedName name="OSRRefD14_0x" localSheetId="47">'Div 3'!$D$22:$I$22</definedName>
    <definedName name="OSRRefD14_0x" localSheetId="70">'Div 4'!$D$19:$I$19</definedName>
    <definedName name="OSRRefD14_0x" localSheetId="61">'Div 6'!$D$18:$I$18</definedName>
    <definedName name="OSRRefD14_0x" localSheetId="2">Summary!$D$24:$I$24</definedName>
    <definedName name="OSRRefD14_10x" localSheetId="48">'300'!$D$30:$I$30</definedName>
    <definedName name="OSRRefD14_10x" localSheetId="49">'300 &amp; 317'!$D$30:$I$30</definedName>
    <definedName name="OSRRefD14_10x" localSheetId="57">'315'!$D$28:$I$28</definedName>
    <definedName name="OSRRefD14_10x" localSheetId="56">'331'!$D$28:$I$28</definedName>
    <definedName name="OSRRefD14_10x" localSheetId="47">'Div 3'!$D$32:$I$32</definedName>
    <definedName name="OSRRefD14_10x" localSheetId="2">Summary!$D$34:$I$34</definedName>
    <definedName name="OSRRefD14_11x" localSheetId="48">'300'!$D$31:$I$31</definedName>
    <definedName name="OSRRefD14_11x" localSheetId="49">'300 &amp; 317'!$D$31:$I$31</definedName>
    <definedName name="OSRRefD14_11x" localSheetId="57">'315'!$D$29:$I$29</definedName>
    <definedName name="OSRRefD14_11x" localSheetId="56">'331'!$D$29:$I$29</definedName>
    <definedName name="OSRRefD14_11x" localSheetId="47">'Div 3'!$D$33:$I$33</definedName>
    <definedName name="OSRRefD14_11x" localSheetId="2">Summary!$D$35:$I$35</definedName>
    <definedName name="OSRRefD14_12x" localSheetId="48">'300'!$D$32:$I$32</definedName>
    <definedName name="OSRRefD14_12x" localSheetId="49">'300 &amp; 317'!$D$32:$I$32</definedName>
    <definedName name="OSRRefD14_12x" localSheetId="57">'315'!$D$30:$I$30</definedName>
    <definedName name="OSRRefD14_12x" localSheetId="56">'331'!$D$30:$I$30</definedName>
    <definedName name="OSRRefD14_12x" localSheetId="47">'Div 3'!$D$34:$I$34</definedName>
    <definedName name="OSRRefD14_12x" localSheetId="2">Summary!$D$36:$I$36</definedName>
    <definedName name="OSRRefD14_13x" localSheetId="48">'300'!$D$33:$I$33</definedName>
    <definedName name="OSRRefD14_13x" localSheetId="49">'300 &amp; 317'!$D$33:$I$33</definedName>
    <definedName name="OSRRefD14_13x" localSheetId="57">'315'!$D$31:$I$31</definedName>
    <definedName name="OSRRefD14_13x" localSheetId="56">'331'!$D$31:$I$31</definedName>
    <definedName name="OSRRefD14_13x" localSheetId="47">'Div 3'!$D$35:$I$35</definedName>
    <definedName name="OSRRefD14_13x" localSheetId="2">Summary!$D$37:$I$37</definedName>
    <definedName name="OSRRefD14_14x" localSheetId="48">'300'!$D$34:$I$34</definedName>
    <definedName name="OSRRefD14_14x" localSheetId="49">'300 &amp; 317'!$D$34:$I$34</definedName>
    <definedName name="OSRRefD14_14x" localSheetId="57">'315'!$D$32:$I$32</definedName>
    <definedName name="OSRRefD14_14x" localSheetId="56">'331'!$D$32:$I$32</definedName>
    <definedName name="OSRRefD14_14x" localSheetId="47">'Div 3'!$D$36:$I$36</definedName>
    <definedName name="OSRRefD14_14x" localSheetId="2">Summary!$D$38:$I$38</definedName>
    <definedName name="OSRRefD14_15x" localSheetId="48">'300'!$D$35:$I$35</definedName>
    <definedName name="OSRRefD14_15x" localSheetId="49">'300 &amp; 317'!$D$35:$I$35</definedName>
    <definedName name="OSRRefD14_15x" localSheetId="57">'315'!$D$33:$I$33</definedName>
    <definedName name="OSRRefD14_15x" localSheetId="56">'331'!$D$33:$I$33</definedName>
    <definedName name="OSRRefD14_15x" localSheetId="47">'Div 3'!$D$37:$I$37</definedName>
    <definedName name="OSRRefD14_15x" localSheetId="2">Summary!$D$39:$I$39</definedName>
    <definedName name="OSRRefD14_16x" localSheetId="48">'300'!$D$36:$I$36</definedName>
    <definedName name="OSRRefD14_16x" localSheetId="49">'300 &amp; 317'!$D$36:$I$36</definedName>
    <definedName name="OSRRefD14_16x" localSheetId="57">'315'!$D$34:$I$34</definedName>
    <definedName name="OSRRefD14_16x" localSheetId="56">'331'!$D$34:$I$34</definedName>
    <definedName name="OSRRefD14_16x" localSheetId="47">'Div 3'!$D$38:$I$38</definedName>
    <definedName name="OSRRefD14_16x" localSheetId="2">Summary!$D$40:$I$40</definedName>
    <definedName name="OSRRefD14_17x" localSheetId="48">'300'!$D$37:$I$37</definedName>
    <definedName name="OSRRefD14_17x" localSheetId="49">'300 &amp; 317'!$D$37:$I$37</definedName>
    <definedName name="OSRRefD14_17x" localSheetId="57">'315'!$D$35:$I$35</definedName>
    <definedName name="OSRRefD14_17x" localSheetId="56">'331'!$D$35:$I$35</definedName>
    <definedName name="OSRRefD14_17x" localSheetId="47">'Div 3'!$D$39:$I$39</definedName>
    <definedName name="OSRRefD14_17x" localSheetId="2">Summary!$D$41:$I$41</definedName>
    <definedName name="OSRRefD14_18x" localSheetId="48">'300'!$D$38:$I$38</definedName>
    <definedName name="OSRRefD14_18x" localSheetId="49">'300 &amp; 317'!$D$38:$I$38</definedName>
    <definedName name="OSRRefD14_18x" localSheetId="57">'315'!$D$36:$I$36</definedName>
    <definedName name="OSRRefD14_18x" localSheetId="56">'331'!$D$36:$I$36</definedName>
    <definedName name="OSRRefD14_18x" localSheetId="47">'Div 3'!$D$40:$I$40</definedName>
    <definedName name="OSRRefD14_18x" localSheetId="2">Summary!$D$42:$I$42</definedName>
    <definedName name="OSRRefD14_19x" localSheetId="48">'300'!$D$39:$I$39</definedName>
    <definedName name="OSRRefD14_19x" localSheetId="49">'300 &amp; 317'!$D$39:$I$39</definedName>
    <definedName name="OSRRefD14_19x" localSheetId="47">'Div 3'!$D$41:$I$41</definedName>
    <definedName name="OSRRefD14_19x" localSheetId="2">Summary!$D$43:$I$43</definedName>
    <definedName name="OSRRefD14_1x" localSheetId="48">'300'!$D$21:$I$21</definedName>
    <definedName name="OSRRefD14_1x" localSheetId="49">'300 &amp; 317'!$D$21:$I$21</definedName>
    <definedName name="OSRRefD14_1x" localSheetId="52">'307'!$D$18:$I$18</definedName>
    <definedName name="OSRRefD14_1x" localSheetId="53">'308'!$D$19:$I$19</definedName>
    <definedName name="OSRRefD14_1x" localSheetId="63">'310'!$D$18:$I$18</definedName>
    <definedName name="OSRRefD14_1x" localSheetId="71">'310 &amp; 491'!$D$20:$I$20</definedName>
    <definedName name="OSRRefD14_1x" localSheetId="54">'311'!$D$19:$I$19</definedName>
    <definedName name="OSRRefD14_1x" localSheetId="57">'315'!$D$19:$I$19</definedName>
    <definedName name="OSRRefD14_1x" localSheetId="60">'316'!$D$19:$I$19</definedName>
    <definedName name="OSRRefD14_1x" localSheetId="62">'317'!$D$19:$I$19</definedName>
    <definedName name="OSRRefD14_1x" localSheetId="66">'321'!$D$16:$I$16</definedName>
    <definedName name="OSRRefD14_1x" localSheetId="68">'325'!$D$16:$I$16</definedName>
    <definedName name="OSRRefD14_1x" localSheetId="58">'326'!$D$18:$I$18</definedName>
    <definedName name="OSRRefD14_1x" localSheetId="69">'327'!$D$17:$I$17</definedName>
    <definedName name="OSRRefD14_1x" localSheetId="51">'330'!$D$18:$I$18</definedName>
    <definedName name="OSRRefD14_1x" localSheetId="56">'331'!$D$19:$I$19</definedName>
    <definedName name="OSRRefD14_1x" localSheetId="59">'332'!$D$19:$I$19</definedName>
    <definedName name="OSRRefD14_1x" localSheetId="73">'405'!$D$18:$I$18</definedName>
    <definedName name="OSRRefD14_1x" localSheetId="79">'415'!$D$18:$I$18</definedName>
    <definedName name="OSRRefD14_1x" localSheetId="80">'418'!$D$16:$I$16</definedName>
    <definedName name="OSRRefD14_1x" localSheetId="87">'433'!$D$18:$I$18</definedName>
    <definedName name="OSRRefD14_1x" localSheetId="88">'444'!$D$18:$I$18</definedName>
    <definedName name="OSRRefD14_1x" localSheetId="89">'450'!$D$18:$I$18</definedName>
    <definedName name="OSRRefD14_1x" localSheetId="72">'491'!$D$19:$I$19</definedName>
    <definedName name="OSRRefD14_1x" localSheetId="85">'492'!$D$18:$I$18</definedName>
    <definedName name="OSRRefD14_1x" localSheetId="47">'Div 3'!$D$23:$I$23</definedName>
    <definedName name="OSRRefD14_1x" localSheetId="70">'Div 4'!$D$20:$I$20</definedName>
    <definedName name="OSRRefD14_1x" localSheetId="61">'Div 6'!$D$19:$I$19</definedName>
    <definedName name="OSRRefD14_1x" localSheetId="2">Summary!$D$25:$I$25</definedName>
    <definedName name="OSRRefD14_20x" localSheetId="48">'300'!$D$40:$I$40</definedName>
    <definedName name="OSRRefD14_20x" localSheetId="49">'300 &amp; 317'!$D$40:$I$40</definedName>
    <definedName name="OSRRefD14_20x" localSheetId="47">'Div 3'!$D$42:$I$42</definedName>
    <definedName name="OSRRefD14_20x" localSheetId="2">Summary!$D$44:$I$44</definedName>
    <definedName name="OSRRefD14_21x" localSheetId="48">'300'!$D$41:$I$41</definedName>
    <definedName name="OSRRefD14_21x" localSheetId="49">'300 &amp; 317'!$D$41:$I$41</definedName>
    <definedName name="OSRRefD14_21x" localSheetId="47">'Div 3'!$D$43:$I$43</definedName>
    <definedName name="OSRRefD14_21x" localSheetId="2">Summary!$D$45:$I$45</definedName>
    <definedName name="OSRRefD14_22x" localSheetId="48">'300'!$D$42:$I$42</definedName>
    <definedName name="OSRRefD14_22x" localSheetId="49">'300 &amp; 317'!$D$42:$I$42</definedName>
    <definedName name="OSRRefD14_22x" localSheetId="47">'Div 3'!$D$44:$I$44</definedName>
    <definedName name="OSRRefD14_22x" localSheetId="2">Summary!$D$46:$I$46</definedName>
    <definedName name="OSRRefD14_23x" localSheetId="48">'300'!$D$43:$I$43</definedName>
    <definedName name="OSRRefD14_23x" localSheetId="49">'300 &amp; 317'!$D$43:$I$43</definedName>
    <definedName name="OSRRefD14_23x" localSheetId="47">'Div 3'!$D$45:$I$45</definedName>
    <definedName name="OSRRefD14_23x" localSheetId="2">Summary!$D$47:$I$47</definedName>
    <definedName name="OSRRefD14_24x" localSheetId="48">'300'!$D$44:$I$44</definedName>
    <definedName name="OSRRefD14_24x" localSheetId="49">'300 &amp; 317'!$D$44:$I$44</definedName>
    <definedName name="OSRRefD14_24x" localSheetId="47">'Div 3'!$D$46:$I$46</definedName>
    <definedName name="OSRRefD14_24x" localSheetId="2">Summary!$D$48:$I$48</definedName>
    <definedName name="OSRRefD14_25x" localSheetId="48">'300'!$D$45:$I$45</definedName>
    <definedName name="OSRRefD14_25x" localSheetId="49">'300 &amp; 317'!$D$45:$I$45</definedName>
    <definedName name="OSRRefD14_25x" localSheetId="47">'Div 3'!$D$47:$I$47</definedName>
    <definedName name="OSRRefD14_25x" localSheetId="2">Summary!$D$49:$I$49</definedName>
    <definedName name="OSRRefD14_26x" localSheetId="48">'300'!$D$46:$I$46</definedName>
    <definedName name="OSRRefD14_26x" localSheetId="49">'300 &amp; 317'!$D$46:$I$46</definedName>
    <definedName name="OSRRefD14_26x" localSheetId="47">'Div 3'!$D$48:$I$48</definedName>
    <definedName name="OSRRefD14_26x" localSheetId="2">Summary!$D$50:$I$50</definedName>
    <definedName name="OSRRefD14_27x" localSheetId="49">'300 &amp; 317'!$D$47:$I$47</definedName>
    <definedName name="OSRRefD14_27x" localSheetId="47">'Div 3'!$D$49:$I$49</definedName>
    <definedName name="OSRRefD14_27x" localSheetId="2">Summary!$D$51:$I$51</definedName>
    <definedName name="OSRRefD14_28x" localSheetId="49">'300 &amp; 317'!$D$48:$I$48</definedName>
    <definedName name="OSRRefD14_28x" localSheetId="47">'Div 3'!$D$50:$I$50</definedName>
    <definedName name="OSRRefD14_28x" localSheetId="2">Summary!$D$52:$I$52</definedName>
    <definedName name="OSRRefD14_29x" localSheetId="49">'300 &amp; 317'!$D$49:$I$49</definedName>
    <definedName name="OSRRefD14_29x" localSheetId="2">Summary!$D$53:$I$53</definedName>
    <definedName name="OSRRefD14_2x" localSheetId="48">'300'!$D$22:$I$22</definedName>
    <definedName name="OSRRefD14_2x" localSheetId="49">'300 &amp; 317'!$D$22:$I$22</definedName>
    <definedName name="OSRRefD14_2x" localSheetId="52">'307'!$D$19:$I$19</definedName>
    <definedName name="OSRRefD14_2x" localSheetId="53">'308'!$D$20:$I$20</definedName>
    <definedName name="OSRRefD14_2x" localSheetId="63">'310'!$D$19:$I$19</definedName>
    <definedName name="OSRRefD14_2x" localSheetId="71">'310 &amp; 491'!$D$21:$I$21</definedName>
    <definedName name="OSRRefD14_2x" localSheetId="54">'311'!$D$20:$I$20</definedName>
    <definedName name="OSRRefD14_2x" localSheetId="57">'315'!$D$20:$I$20</definedName>
    <definedName name="OSRRefD14_2x" localSheetId="62">'317'!$D$20:$I$20</definedName>
    <definedName name="OSRRefD14_2x" localSheetId="68">'325'!$D$17:$I$17</definedName>
    <definedName name="OSRRefD14_2x" localSheetId="58">'326'!$D$19:$I$19</definedName>
    <definedName name="OSRRefD14_2x" localSheetId="69">'327'!$D$18:$I$18</definedName>
    <definedName name="OSRRefD14_2x" localSheetId="51">'330'!$D$19:$I$19</definedName>
    <definedName name="OSRRefD14_2x" localSheetId="56">'331'!$D$20:$I$20</definedName>
    <definedName name="OSRRefD14_2x" localSheetId="73">'405'!$D$19:$I$19</definedName>
    <definedName name="OSRRefD14_2x" localSheetId="79">'415'!$D$19:$I$19</definedName>
    <definedName name="OSRRefD14_2x" localSheetId="87">'433'!$D$19:$I$19</definedName>
    <definedName name="OSRRefD14_2x" localSheetId="88">'444'!$D$19:$I$19</definedName>
    <definedName name="OSRRefD14_2x" localSheetId="89">'450'!$D$19:$I$19</definedName>
    <definedName name="OSRRefD14_2x" localSheetId="72">'491'!$D$20:$I$20</definedName>
    <definedName name="OSRRefD14_2x" localSheetId="85">'492'!$D$19:$I$19</definedName>
    <definedName name="OSRRefD14_2x" localSheetId="47">'Div 3'!$D$24:$I$24</definedName>
    <definedName name="OSRRefD14_2x" localSheetId="70">'Div 4'!$D$21:$I$21</definedName>
    <definedName name="OSRRefD14_2x" localSheetId="61">'Div 6'!$D$20:$I$20</definedName>
    <definedName name="OSRRefD14_2x" localSheetId="2">Summary!$D$26:$I$26</definedName>
    <definedName name="OSRRefD14_30x" localSheetId="49">'300 &amp; 317'!$D$50:$I$50</definedName>
    <definedName name="OSRRefD14_30x" localSheetId="2">Summary!$D$54:$I$54</definedName>
    <definedName name="OSRRefD14_31x" localSheetId="49">'300 &amp; 317'!$D$51:$I$51</definedName>
    <definedName name="OSRRefD14_31x" localSheetId="2">Summary!$D$55:$I$55</definedName>
    <definedName name="OSRRefD14_32x" localSheetId="49">'300 &amp; 317'!$D$52:$I$52</definedName>
    <definedName name="OSRRefD14_32x" localSheetId="2">Summary!$D$56:$I$56</definedName>
    <definedName name="OSRRefD14_33x" localSheetId="2">Summary!$D$57:$I$57</definedName>
    <definedName name="OSRRefD14_34x" localSheetId="2">Summary!$D$58:$I$58</definedName>
    <definedName name="OSRRefD14_3x" localSheetId="48">'300'!$D$23:$I$23</definedName>
    <definedName name="OSRRefD14_3x" localSheetId="49">'300 &amp; 317'!$D$23:$I$23</definedName>
    <definedName name="OSRRefD14_3x" localSheetId="52">'307'!$D$20:$I$20</definedName>
    <definedName name="OSRRefD14_3x" localSheetId="53">'308'!$D$21:$I$21</definedName>
    <definedName name="OSRRefD14_3x" localSheetId="54">'311'!$D$21:$I$21</definedName>
    <definedName name="OSRRefD14_3x" localSheetId="57">'315'!$D$21:$I$21</definedName>
    <definedName name="OSRRefD14_3x" localSheetId="62">'317'!$D$21:$I$21</definedName>
    <definedName name="OSRRefD14_3x" localSheetId="58">'326'!$D$20:$I$20</definedName>
    <definedName name="OSRRefD14_3x" localSheetId="51">'330'!$D$20:$I$20</definedName>
    <definedName name="OSRRefD14_3x" localSheetId="56">'331'!$D$21:$I$21</definedName>
    <definedName name="OSRRefD14_3x" localSheetId="47">'Div 3'!$D$25:$I$25</definedName>
    <definedName name="OSRRefD14_3x" localSheetId="61">'Div 6'!$D$21:$I$21</definedName>
    <definedName name="OSRRefD14_3x" localSheetId="2">Summary!$D$27:$I$27</definedName>
    <definedName name="OSRRefD14_4x" localSheetId="48">'300'!$D$24:$I$24</definedName>
    <definedName name="OSRRefD14_4x" localSheetId="49">'300 &amp; 317'!$D$24:$I$24</definedName>
    <definedName name="OSRRefD14_4x" localSheetId="52">'307'!$D$21:$I$21</definedName>
    <definedName name="OSRRefD14_4x" localSheetId="53">'308'!$D$22:$I$22</definedName>
    <definedName name="OSRRefD14_4x" localSheetId="54">'311'!$D$22:$I$22</definedName>
    <definedName name="OSRRefD14_4x" localSheetId="57">'315'!$D$22:$I$22</definedName>
    <definedName name="OSRRefD14_4x" localSheetId="62">'317'!$D$22:$I$22</definedName>
    <definedName name="OSRRefD14_4x" localSheetId="51">'330'!$D$21:$I$21</definedName>
    <definedName name="OSRRefD14_4x" localSheetId="56">'331'!$D$22:$I$22</definedName>
    <definedName name="OSRRefD14_4x" localSheetId="47">'Div 3'!$D$26:$I$26</definedName>
    <definedName name="OSRRefD14_4x" localSheetId="61">'Div 6'!$D$22:$I$22</definedName>
    <definedName name="OSRRefD14_4x" localSheetId="2">Summary!$D$28:$I$28</definedName>
    <definedName name="OSRRefD14_5x" localSheetId="48">'300'!$D$25:$I$25</definedName>
    <definedName name="OSRRefD14_5x" localSheetId="49">'300 &amp; 317'!$D$25:$I$25</definedName>
    <definedName name="OSRRefD14_5x" localSheetId="52">'307'!$D$22:$I$22</definedName>
    <definedName name="OSRRefD14_5x" localSheetId="53">'308'!$D$23:$I$23</definedName>
    <definedName name="OSRRefD14_5x" localSheetId="54">'311'!$D$23:$I$23</definedName>
    <definedName name="OSRRefD14_5x" localSheetId="57">'315'!$D$23:$I$23</definedName>
    <definedName name="OSRRefD14_5x" localSheetId="62">'317'!$D$23:$I$23</definedName>
    <definedName name="OSRRefD14_5x" localSheetId="51">'330'!$D$22:$I$22</definedName>
    <definedName name="OSRRefD14_5x" localSheetId="56">'331'!$D$23:$I$23</definedName>
    <definedName name="OSRRefD14_5x" localSheetId="47">'Div 3'!$D$27:$I$27</definedName>
    <definedName name="OSRRefD14_5x" localSheetId="61">'Div 6'!$D$23:$I$23</definedName>
    <definedName name="OSRRefD14_5x" localSheetId="2">Summary!$D$29:$I$29</definedName>
    <definedName name="OSRRefD14_6x" localSheetId="48">'300'!$D$26:$I$26</definedName>
    <definedName name="OSRRefD14_6x" localSheetId="49">'300 &amp; 317'!$D$26:$I$26</definedName>
    <definedName name="OSRRefD14_6x" localSheetId="52">'307'!$D$23:$I$23</definedName>
    <definedName name="OSRRefD14_6x" localSheetId="53">'308'!$D$24:$I$24</definedName>
    <definedName name="OSRRefD14_6x" localSheetId="54">'311'!$D$24:$I$24</definedName>
    <definedName name="OSRRefD14_6x" localSheetId="57">'315'!$D$24:$I$24</definedName>
    <definedName name="OSRRefD14_6x" localSheetId="62">'317'!$D$24:$I$24</definedName>
    <definedName name="OSRRefD14_6x" localSheetId="51">'330'!$D$23:$I$23</definedName>
    <definedName name="OSRRefD14_6x" localSheetId="56">'331'!$D$24:$I$24</definedName>
    <definedName name="OSRRefD14_6x" localSheetId="47">'Div 3'!$D$28:$I$28</definedName>
    <definedName name="OSRRefD14_6x" localSheetId="61">'Div 6'!$D$24:$I$24</definedName>
    <definedName name="OSRRefD14_6x" localSheetId="2">Summary!$D$30:$I$30</definedName>
    <definedName name="OSRRefD14_7x" localSheetId="48">'300'!$D$27:$I$27</definedName>
    <definedName name="OSRRefD14_7x" localSheetId="49">'300 &amp; 317'!$D$27:$I$27</definedName>
    <definedName name="OSRRefD14_7x" localSheetId="52">'307'!$D$24:$I$24</definedName>
    <definedName name="OSRRefD14_7x" localSheetId="53">'308'!$D$25:$I$25</definedName>
    <definedName name="OSRRefD14_7x" localSheetId="54">'311'!$D$25:$I$25</definedName>
    <definedName name="OSRRefD14_7x" localSheetId="57">'315'!$D$25:$I$25</definedName>
    <definedName name="OSRRefD14_7x" localSheetId="62">'317'!$D$25:$I$25</definedName>
    <definedName name="OSRRefD14_7x" localSheetId="51">'330'!$D$24:$I$24</definedName>
    <definedName name="OSRRefD14_7x" localSheetId="56">'331'!$D$25:$I$25</definedName>
    <definedName name="OSRRefD14_7x" localSheetId="47">'Div 3'!$D$29:$I$29</definedName>
    <definedName name="OSRRefD14_7x" localSheetId="61">'Div 6'!$D$25:$I$25</definedName>
    <definedName name="OSRRefD14_7x" localSheetId="2">Summary!$D$31:$I$31</definedName>
    <definedName name="OSRRefD14_8x" localSheetId="48">'300'!$D$28:$I$28</definedName>
    <definedName name="OSRRefD14_8x" localSheetId="49">'300 &amp; 317'!$D$28:$I$28</definedName>
    <definedName name="OSRRefD14_8x" localSheetId="52">'307'!$D$25:$I$25</definedName>
    <definedName name="OSRRefD14_8x" localSheetId="53">'308'!$D$26:$I$26</definedName>
    <definedName name="OSRRefD14_8x" localSheetId="54">'311'!$D$26:$I$26</definedName>
    <definedName name="OSRRefD14_8x" localSheetId="57">'315'!$D$26:$I$26</definedName>
    <definedName name="OSRRefD14_8x" localSheetId="62">'317'!$D$26:$I$26</definedName>
    <definedName name="OSRRefD14_8x" localSheetId="51">'330'!$D$25:$I$25</definedName>
    <definedName name="OSRRefD14_8x" localSheetId="56">'331'!$D$26:$I$26</definedName>
    <definedName name="OSRRefD14_8x" localSheetId="47">'Div 3'!$D$30:$I$30</definedName>
    <definedName name="OSRRefD14_8x" localSheetId="61">'Div 6'!$D$26:$I$26</definedName>
    <definedName name="OSRRefD14_8x" localSheetId="2">Summary!$D$32:$I$32</definedName>
    <definedName name="OSRRefD14_9x" localSheetId="48">'300'!$D$29:$I$29</definedName>
    <definedName name="OSRRefD14_9x" localSheetId="49">'300 &amp; 317'!$D$29:$I$29</definedName>
    <definedName name="OSRRefD14_9x" localSheetId="52">'307'!$D$26:$I$26</definedName>
    <definedName name="OSRRefD14_9x" localSheetId="53">'308'!$D$27:$I$27</definedName>
    <definedName name="OSRRefD14_9x" localSheetId="54">'311'!$D$27:$I$27</definedName>
    <definedName name="OSRRefD14_9x" localSheetId="57">'315'!$D$27:$I$27</definedName>
    <definedName name="OSRRefD14_9x" localSheetId="62">'317'!$D$27:$I$27</definedName>
    <definedName name="OSRRefD14_9x" localSheetId="51">'330'!$D$26:$I$26</definedName>
    <definedName name="OSRRefD14_9x" localSheetId="56">'331'!$D$27:$I$27</definedName>
    <definedName name="OSRRefD14_9x" localSheetId="47">'Div 3'!$D$31:$I$31</definedName>
    <definedName name="OSRRefD14_9x" localSheetId="61">'Div 6'!$D$27:$I$27</definedName>
    <definedName name="OSRRefD14_9x" localSheetId="2">Summary!$D$33:$I$33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2">'307'!$D$17:$D$26</definedName>
    <definedName name="OSRRefD14x_0" localSheetId="53">'308'!$D$18:$D$27</definedName>
    <definedName name="OSRRefD14x_0" localSheetId="63">'310'!$D$17:$D$19</definedName>
    <definedName name="OSRRefD14x_0" localSheetId="71">'310 &amp; 491'!$D$19:$D$21</definedName>
    <definedName name="OSRRefD14x_0" localSheetId="54">'311'!$D$18:$D$27</definedName>
    <definedName name="OSRRefD14x_0" localSheetId="57">'315'!$D$18:$D$36</definedName>
    <definedName name="OSRRefD14x_0" localSheetId="60">'316'!$D$18:$D$19</definedName>
    <definedName name="OSRRefD14x_0" localSheetId="62">'317'!$D$18:$D$27</definedName>
    <definedName name="OSRRefD14x_0" localSheetId="66">'321'!$D$15:$D$16</definedName>
    <definedName name="OSRRefD14x_0" localSheetId="55">'324'!$D$15</definedName>
    <definedName name="OSRRefD14x_0" localSheetId="68">'325'!$D$15:$D$17</definedName>
    <definedName name="OSRRefD14x_0" localSheetId="58">'326'!$D$17:$D$20</definedName>
    <definedName name="OSRRefD14x_0" localSheetId="69">'327'!$D$16:$D$18</definedName>
    <definedName name="OSRRefD14x_0" localSheetId="51">'330'!$D$17:$D$26</definedName>
    <definedName name="OSRRefD14x_0" localSheetId="56">'331'!$D$18:$D$36</definedName>
    <definedName name="OSRRefD14x_0" localSheetId="59">'332'!$D$18:$D$19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4">'425'!$D$14</definedName>
    <definedName name="OSRRefD14x_0" localSheetId="87">'433'!$D$17:$D$19</definedName>
    <definedName name="OSRRefD14x_0" localSheetId="88">'444'!$D$17:$D$19</definedName>
    <definedName name="OSRRefD14x_0" localSheetId="89">'450'!$D$17:$D$19</definedName>
    <definedName name="OSRRefD14x_0" localSheetId="72">'491'!$D$18:$D$20</definedName>
    <definedName name="OSRRefD14x_0" localSheetId="85">'492'!$D$17:$D$19</definedName>
    <definedName name="OSRRefD14x_0" localSheetId="47">'Div 3'!$D$22:$D$50</definedName>
    <definedName name="OSRRefD14x_0" localSheetId="70">'Div 4'!$D$19:$D$21</definedName>
    <definedName name="OSRRefD14x_0" localSheetId="61">'Div 6'!$D$18:$D$27</definedName>
    <definedName name="OSRRefD14x_0" localSheetId="2">Summary!$D$24:$D$58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2">'307'!$E$17:$E$26</definedName>
    <definedName name="OSRRefD14x_1" localSheetId="53">'308'!$E$18:$E$27</definedName>
    <definedName name="OSRRefD14x_1" localSheetId="63">'310'!$E$17:$E$19</definedName>
    <definedName name="OSRRefD14x_1" localSheetId="71">'310 &amp; 491'!$E$19:$E$21</definedName>
    <definedName name="OSRRefD14x_1" localSheetId="54">'311'!$E$18:$E$27</definedName>
    <definedName name="OSRRefD14x_1" localSheetId="57">'315'!$E$18:$E$36</definedName>
    <definedName name="OSRRefD14x_1" localSheetId="60">'316'!$E$18:$E$19</definedName>
    <definedName name="OSRRefD14x_1" localSheetId="62">'317'!$E$18:$E$27</definedName>
    <definedName name="OSRRefD14x_1" localSheetId="66">'321'!$E$15:$E$16</definedName>
    <definedName name="OSRRefD14x_1" localSheetId="55">'324'!$E$15</definedName>
    <definedName name="OSRRefD14x_1" localSheetId="68">'325'!$E$15:$E$17</definedName>
    <definedName name="OSRRefD14x_1" localSheetId="58">'326'!$E$17:$E$20</definedName>
    <definedName name="OSRRefD14x_1" localSheetId="69">'327'!$E$16:$E$18</definedName>
    <definedName name="OSRRefD14x_1" localSheetId="51">'330'!$E$17:$E$26</definedName>
    <definedName name="OSRRefD14x_1" localSheetId="56">'331'!$E$18:$E$36</definedName>
    <definedName name="OSRRefD14x_1" localSheetId="59">'332'!$E$18:$E$19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4">'425'!$E$14</definedName>
    <definedName name="OSRRefD14x_1" localSheetId="87">'433'!$E$17:$E$19</definedName>
    <definedName name="OSRRefD14x_1" localSheetId="88">'444'!$E$17:$E$19</definedName>
    <definedName name="OSRRefD14x_1" localSheetId="89">'450'!$E$17:$E$19</definedName>
    <definedName name="OSRRefD14x_1" localSheetId="72">'491'!$E$18:$E$20</definedName>
    <definedName name="OSRRefD14x_1" localSheetId="85">'492'!$E$17:$E$19</definedName>
    <definedName name="OSRRefD14x_1" localSheetId="47">'Div 3'!$E$22:$E$50</definedName>
    <definedName name="OSRRefD14x_1" localSheetId="70">'Div 4'!$E$19:$E$21</definedName>
    <definedName name="OSRRefD14x_1" localSheetId="61">'Div 6'!$E$18:$E$27</definedName>
    <definedName name="OSRRefD14x_1" localSheetId="2">Summary!$E$24:$E$58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2">'307'!$F$17:$F$26</definedName>
    <definedName name="OSRRefD14x_2" localSheetId="53">'308'!$F$18:$F$27</definedName>
    <definedName name="OSRRefD14x_2" localSheetId="63">'310'!$F$17:$F$19</definedName>
    <definedName name="OSRRefD14x_2" localSheetId="71">'310 &amp; 491'!$F$19:$F$21</definedName>
    <definedName name="OSRRefD14x_2" localSheetId="54">'311'!$F$18:$F$27</definedName>
    <definedName name="OSRRefD14x_2" localSheetId="57">'315'!$F$18:$F$36</definedName>
    <definedName name="OSRRefD14x_2" localSheetId="60">'316'!$F$18:$F$19</definedName>
    <definedName name="OSRRefD14x_2" localSheetId="62">'317'!$F$18:$F$27</definedName>
    <definedName name="OSRRefD14x_2" localSheetId="66">'321'!$F$15:$F$16</definedName>
    <definedName name="OSRRefD14x_2" localSheetId="55">'324'!$F$15</definedName>
    <definedName name="OSRRefD14x_2" localSheetId="68">'325'!$F$15:$F$17</definedName>
    <definedName name="OSRRefD14x_2" localSheetId="58">'326'!$F$17:$F$20</definedName>
    <definedName name="OSRRefD14x_2" localSheetId="69">'327'!$F$16:$F$18</definedName>
    <definedName name="OSRRefD14x_2" localSheetId="51">'330'!$F$17:$F$26</definedName>
    <definedName name="OSRRefD14x_2" localSheetId="56">'331'!$F$18:$F$36</definedName>
    <definedName name="OSRRefD14x_2" localSheetId="59">'332'!$F$18:$F$19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4">'425'!$F$14</definedName>
    <definedName name="OSRRefD14x_2" localSheetId="87">'433'!$F$17:$F$19</definedName>
    <definedName name="OSRRefD14x_2" localSheetId="88">'444'!$F$17:$F$19</definedName>
    <definedName name="OSRRefD14x_2" localSheetId="89">'450'!$F$17:$F$19</definedName>
    <definedName name="OSRRefD14x_2" localSheetId="72">'491'!$F$18:$F$20</definedName>
    <definedName name="OSRRefD14x_2" localSheetId="85">'492'!$F$17:$F$19</definedName>
    <definedName name="OSRRefD14x_2" localSheetId="47">'Div 3'!$F$22:$F$50</definedName>
    <definedName name="OSRRefD14x_2" localSheetId="70">'Div 4'!$F$19:$F$21</definedName>
    <definedName name="OSRRefD14x_2" localSheetId="61">'Div 6'!$F$18:$F$27</definedName>
    <definedName name="OSRRefD14x_2" localSheetId="2">Summary!$F$24:$F$58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2">'307'!$G$17:$G$26</definedName>
    <definedName name="OSRRefD14x_3" localSheetId="53">'308'!$G$18:$G$27</definedName>
    <definedName name="OSRRefD14x_3" localSheetId="63">'310'!$G$17:$G$19</definedName>
    <definedName name="OSRRefD14x_3" localSheetId="71">'310 &amp; 491'!$G$19:$G$21</definedName>
    <definedName name="OSRRefD14x_3" localSheetId="54">'311'!$G$18:$G$27</definedName>
    <definedName name="OSRRefD14x_3" localSheetId="57">'315'!$G$18:$G$36</definedName>
    <definedName name="OSRRefD14x_3" localSheetId="60">'316'!$G$18:$G$19</definedName>
    <definedName name="OSRRefD14x_3" localSheetId="62">'317'!$G$18:$G$27</definedName>
    <definedName name="OSRRefD14x_3" localSheetId="66">'321'!$G$15:$G$16</definedName>
    <definedName name="OSRRefD14x_3" localSheetId="55">'324'!$G$15</definedName>
    <definedName name="OSRRefD14x_3" localSheetId="68">'325'!$G$15:$G$17</definedName>
    <definedName name="OSRRefD14x_3" localSheetId="58">'326'!$G$17:$G$20</definedName>
    <definedName name="OSRRefD14x_3" localSheetId="69">'327'!$G$16:$G$18</definedName>
    <definedName name="OSRRefD14x_3" localSheetId="51">'330'!$G$17:$G$26</definedName>
    <definedName name="OSRRefD14x_3" localSheetId="56">'331'!$G$18:$G$36</definedName>
    <definedName name="OSRRefD14x_3" localSheetId="59">'332'!$G$18:$G$19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4">'425'!$G$14</definedName>
    <definedName name="OSRRefD14x_3" localSheetId="87">'433'!$G$17:$G$19</definedName>
    <definedName name="OSRRefD14x_3" localSheetId="88">'444'!$G$17:$G$19</definedName>
    <definedName name="OSRRefD14x_3" localSheetId="89">'450'!$G$17:$G$19</definedName>
    <definedName name="OSRRefD14x_3" localSheetId="72">'491'!$G$18:$G$20</definedName>
    <definedName name="OSRRefD14x_3" localSheetId="85">'492'!$G$17:$G$19</definedName>
    <definedName name="OSRRefD14x_3" localSheetId="47">'Div 3'!$G$22:$G$50</definedName>
    <definedName name="OSRRefD14x_3" localSheetId="70">'Div 4'!$G$19:$G$21</definedName>
    <definedName name="OSRRefD14x_3" localSheetId="61">'Div 6'!$G$18:$G$27</definedName>
    <definedName name="OSRRefD14x_3" localSheetId="2">Summary!$G$24:$G$58</definedName>
    <definedName name="OSRRefD14x_4" localSheetId="48">'300'!$H$20:$H$46</definedName>
    <definedName name="OSRRefD14x_4" localSheetId="49">'300 &amp; 317'!$H$20:$H$52</definedName>
    <definedName name="OSRRefD14x_4" localSheetId="50">'301'!$H$13</definedName>
    <definedName name="OSRRefD14x_4" localSheetId="52">'307'!$H$17:$H$26</definedName>
    <definedName name="OSRRefD14x_4" localSheetId="53">'308'!$H$18:$H$27</definedName>
    <definedName name="OSRRefD14x_4" localSheetId="63">'310'!$H$17:$H$19</definedName>
    <definedName name="OSRRefD14x_4" localSheetId="71">'310 &amp; 491'!$H$19:$H$21</definedName>
    <definedName name="OSRRefD14x_4" localSheetId="54">'311'!$H$18:$H$27</definedName>
    <definedName name="OSRRefD14x_4" localSheetId="57">'315'!$H$18:$H$36</definedName>
    <definedName name="OSRRefD14x_4" localSheetId="60">'316'!$H$18:$H$19</definedName>
    <definedName name="OSRRefD14x_4" localSheetId="62">'317'!$H$18:$H$27</definedName>
    <definedName name="OSRRefD14x_4" localSheetId="66">'321'!$H$15:$H$16</definedName>
    <definedName name="OSRRefD14x_4" localSheetId="55">'324'!$H$15</definedName>
    <definedName name="OSRRefD14x_4" localSheetId="68">'325'!$H$15:$H$17</definedName>
    <definedName name="OSRRefD14x_4" localSheetId="58">'326'!$H$17:$H$20</definedName>
    <definedName name="OSRRefD14x_4" localSheetId="69">'327'!$H$16:$H$18</definedName>
    <definedName name="OSRRefD14x_4" localSheetId="51">'330'!$H$17:$H$26</definedName>
    <definedName name="OSRRefD14x_4" localSheetId="56">'331'!$H$18:$H$36</definedName>
    <definedName name="OSRRefD14x_4" localSheetId="59">'332'!$H$18:$H$19</definedName>
    <definedName name="OSRRefD14x_4" localSheetId="73">'405'!$H$17:$H$19</definedName>
    <definedName name="OSRRefD14x_4" localSheetId="79">'415'!$H$17:$H$19</definedName>
    <definedName name="OSRRefD14x_4" localSheetId="80">'418'!$H$15:$H$16</definedName>
    <definedName name="OSRRefD14x_4" localSheetId="84">'425'!$H$14</definedName>
    <definedName name="OSRRefD14x_4" localSheetId="87">'433'!$H$17:$H$19</definedName>
    <definedName name="OSRRefD14x_4" localSheetId="88">'444'!$H$17:$H$19</definedName>
    <definedName name="OSRRefD14x_4" localSheetId="89">'450'!$H$17:$H$19</definedName>
    <definedName name="OSRRefD14x_4" localSheetId="72">'491'!$H$18:$H$20</definedName>
    <definedName name="OSRRefD14x_4" localSheetId="85">'492'!$H$17:$H$19</definedName>
    <definedName name="OSRRefD14x_4" localSheetId="47">'Div 3'!$H$22:$H$50</definedName>
    <definedName name="OSRRefD14x_4" localSheetId="70">'Div 4'!$H$19:$H$21</definedName>
    <definedName name="OSRRefD14x_4" localSheetId="61">'Div 6'!$H$18:$H$27</definedName>
    <definedName name="OSRRefD14x_4" localSheetId="2">Summary!$H$24:$H$58</definedName>
    <definedName name="OSRRefD14x_5" localSheetId="48">'300'!$I$20:$I$46</definedName>
    <definedName name="OSRRefD14x_5" localSheetId="49">'300 &amp; 317'!$I$20:$I$52</definedName>
    <definedName name="OSRRefD14x_5" localSheetId="50">'301'!$I$13</definedName>
    <definedName name="OSRRefD14x_5" localSheetId="52">'307'!$I$17:$I$26</definedName>
    <definedName name="OSRRefD14x_5" localSheetId="53">'308'!$I$18:$I$27</definedName>
    <definedName name="OSRRefD14x_5" localSheetId="63">'310'!$I$17:$I$19</definedName>
    <definedName name="OSRRefD14x_5" localSheetId="71">'310 &amp; 491'!$I$19:$I$21</definedName>
    <definedName name="OSRRefD14x_5" localSheetId="54">'311'!$I$18:$I$27</definedName>
    <definedName name="OSRRefD14x_5" localSheetId="57">'315'!$I$18:$I$36</definedName>
    <definedName name="OSRRefD14x_5" localSheetId="60">'316'!$I$18:$I$19</definedName>
    <definedName name="OSRRefD14x_5" localSheetId="62">'317'!$I$18:$I$27</definedName>
    <definedName name="OSRRefD14x_5" localSheetId="66">'321'!$I$15:$I$16</definedName>
    <definedName name="OSRRefD14x_5" localSheetId="55">'324'!$I$15</definedName>
    <definedName name="OSRRefD14x_5" localSheetId="68">'325'!$I$15:$I$17</definedName>
    <definedName name="OSRRefD14x_5" localSheetId="58">'326'!$I$17:$I$20</definedName>
    <definedName name="OSRRefD14x_5" localSheetId="69">'327'!$I$16:$I$18</definedName>
    <definedName name="OSRRefD14x_5" localSheetId="51">'330'!$I$17:$I$26</definedName>
    <definedName name="OSRRefD14x_5" localSheetId="56">'331'!$I$18:$I$36</definedName>
    <definedName name="OSRRefD14x_5" localSheetId="59">'332'!$I$18:$I$19</definedName>
    <definedName name="OSRRefD14x_5" localSheetId="73">'405'!$I$17:$I$19</definedName>
    <definedName name="OSRRefD14x_5" localSheetId="79">'415'!$I$17:$I$19</definedName>
    <definedName name="OSRRefD14x_5" localSheetId="80">'418'!$I$15:$I$16</definedName>
    <definedName name="OSRRefD14x_5" localSheetId="84">'425'!$I$14</definedName>
    <definedName name="OSRRefD14x_5" localSheetId="87">'433'!$I$17:$I$19</definedName>
    <definedName name="OSRRefD14x_5" localSheetId="88">'444'!$I$17:$I$19</definedName>
    <definedName name="OSRRefD14x_5" localSheetId="89">'450'!$I$17:$I$19</definedName>
    <definedName name="OSRRefD14x_5" localSheetId="72">'491'!$I$18:$I$20</definedName>
    <definedName name="OSRRefD14x_5" localSheetId="85">'492'!$I$17:$I$19</definedName>
    <definedName name="OSRRefD14x_5" localSheetId="47">'Div 3'!$I$22:$I$50</definedName>
    <definedName name="OSRRefD14x_5" localSheetId="70">'Div 4'!$I$19:$I$21</definedName>
    <definedName name="OSRRefD14x_5" localSheetId="61">'Div 6'!$I$18:$I$27</definedName>
    <definedName name="OSRRefD14x_5" localSheetId="2">Summary!$I$24:$I$58</definedName>
    <definedName name="OSRRefD20_0x" localSheetId="40">'200'!$D$18:$I$18</definedName>
    <definedName name="OSRRefD20_0x" localSheetId="41">'201'!$D$18:$I$18</definedName>
    <definedName name="OSRRefD20_0x" localSheetId="42">'202'!$D$18:$I$18</definedName>
    <definedName name="OSRRefD20_0x" localSheetId="43">'203'!$D$18:$I$18</definedName>
    <definedName name="OSRRefD20_0x" localSheetId="44">'204'!$D$18:$I$18</definedName>
    <definedName name="OSRRefD20_0x" localSheetId="45">'205'!$D$18:$I$18</definedName>
    <definedName name="OSRRefD20_0x" localSheetId="46">'206'!$D$18:$I$18</definedName>
    <definedName name="OSRRefD20_0x" localSheetId="48">'300'!$D$52:$I$52</definedName>
    <definedName name="OSRRefD20_0x" localSheetId="49">'300 &amp; 317'!$D$58:$I$58</definedName>
    <definedName name="OSRRefD20_0x" localSheetId="50">'301'!$D$19:$I$19</definedName>
    <definedName name="OSRRefD20_0x" localSheetId="52">'307'!$D$32:$I$32</definedName>
    <definedName name="OSRRefD20_0x" localSheetId="53">'308'!$D$33:$I$33</definedName>
    <definedName name="OSRRefD20_0x" localSheetId="64">'309'!$D$18:$I$18</definedName>
    <definedName name="OSRRefD20_0x" localSheetId="63">'310'!$D$25:$I$25</definedName>
    <definedName name="OSRRefD20_0x" localSheetId="71">'310 &amp; 491'!$D$27:$I$27</definedName>
    <definedName name="OSRRefD20_0x" localSheetId="54">'311'!$D$33:$I$33</definedName>
    <definedName name="OSRRefD20_0x" localSheetId="65">'313'!$D$18:$I$18</definedName>
    <definedName name="OSRRefD20_0x" localSheetId="57">'315'!$D$42:$I$42</definedName>
    <definedName name="OSRRefD20_0x" localSheetId="60">'316'!$D$25:$I$25</definedName>
    <definedName name="OSRRefD20_0x" localSheetId="62">'317'!$D$33:$I$33</definedName>
    <definedName name="OSRRefD20_0x" localSheetId="66">'321'!$D$22:$I$22</definedName>
    <definedName name="OSRRefD20_0x" localSheetId="67">'322'!$D$18:$I$18</definedName>
    <definedName name="OSRRefD20_0x" localSheetId="68">'325'!$D$23:$I$23</definedName>
    <definedName name="OSRRefD20_0x" localSheetId="58">'326'!$D$26:$I$26</definedName>
    <definedName name="OSRRefD20_0x" localSheetId="69">'327'!$D$24:$I$24</definedName>
    <definedName name="OSRRefD20_0x" localSheetId="51">'330'!$D$32:$I$32</definedName>
    <definedName name="OSRRefD20_0x" localSheetId="56">'331'!$D$42:$I$42</definedName>
    <definedName name="OSRRefD20_0x" localSheetId="59">'332'!$D$25:$I$25</definedName>
    <definedName name="OSRRefD20_0x" localSheetId="73">'405'!$D$25:$I$25</definedName>
    <definedName name="OSRRefD20_0x" localSheetId="74">'406'!$D$18:$I$18</definedName>
    <definedName name="OSRRefD20_0x" localSheetId="75">'411'!$D$18:$I$18</definedName>
    <definedName name="OSRRefD20_0x" localSheetId="76">'412'!$D$18:$I$18</definedName>
    <definedName name="OSRRefD20_0x" localSheetId="77">'413'!$D$18:$I$18</definedName>
    <definedName name="OSRRefD20_0x" localSheetId="78">'414'!$D$18:$I$18</definedName>
    <definedName name="OSRRefD20_0x" localSheetId="79">'415'!$D$25:$I$25</definedName>
    <definedName name="OSRRefD20_0x" localSheetId="80">'418'!$D$22:$I$22</definedName>
    <definedName name="OSRRefD20_0x" localSheetId="81">'423'!$D$18:$I$18</definedName>
    <definedName name="OSRRefD20_0x" localSheetId="82">'424'!$D$18:$I$18</definedName>
    <definedName name="OSRRefD20_0x" localSheetId="84">'425'!$D$20:$I$20</definedName>
    <definedName name="OSRRefD20_0x" localSheetId="86">'430'!$D$18:$I$18</definedName>
    <definedName name="OSRRefD20_0x" localSheetId="87">'433'!$D$25:$I$25</definedName>
    <definedName name="OSRRefD20_0x" localSheetId="88">'444'!$D$25:$I$25</definedName>
    <definedName name="OSRRefD20_0x" localSheetId="89">'450'!$D$25:$I$25</definedName>
    <definedName name="OSRRefD20_0x" localSheetId="72">'491'!$D$26:$I$26</definedName>
    <definedName name="OSRRefD20_0x" localSheetId="85">'492'!$D$25:$I$25</definedName>
    <definedName name="OSRRefD20_0x" localSheetId="91">'501'!$D$19:$I$19</definedName>
    <definedName name="OSRRefD20_0x" localSheetId="39">'Div 2'!$D$18:$I$18</definedName>
    <definedName name="OSRRefD20_0x" localSheetId="47">'Div 3'!$D$56:$I$56</definedName>
    <definedName name="OSRRefD20_0x" localSheetId="70">'Div 4'!$D$27:$I$27</definedName>
    <definedName name="OSRRefD20_0x" localSheetId="90">'Div 5'!$D$19:$I$19</definedName>
    <definedName name="OSRRefD20_0x" localSheetId="61">'Div 6'!$D$33:$I$33</definedName>
    <definedName name="OSRRefD20_0x" localSheetId="2">Summary!$D$64:$I$64</definedName>
    <definedName name="OSRRefD20_10x" localSheetId="41">'201'!$D$57:$I$57</definedName>
    <definedName name="OSRRefD20_10x" localSheetId="42">'202'!$D$57:$I$57</definedName>
    <definedName name="OSRRefD20_10x" localSheetId="43">'203'!$D$59:$I$59</definedName>
    <definedName name="OSRRefD20_10x" localSheetId="48">'300'!$D$92:$I$92</definedName>
    <definedName name="OSRRefD20_10x" localSheetId="49">'300 &amp; 317'!$D$98:$I$98</definedName>
    <definedName name="OSRRefD20_10x" localSheetId="50">'301'!$D$59:$I$59</definedName>
    <definedName name="OSRRefD20_10x" localSheetId="52">'307'!$D$69:$I$69</definedName>
    <definedName name="OSRRefD20_10x" localSheetId="53">'308'!$D$74:$I$74</definedName>
    <definedName name="OSRRefD20_10x" localSheetId="63">'310'!$D$63:$I$63</definedName>
    <definedName name="OSRRefD20_10x" localSheetId="71">'310 &amp; 491'!$D$66:$I$66</definedName>
    <definedName name="OSRRefD20_10x" localSheetId="54">'311'!$D$74:$I$74</definedName>
    <definedName name="OSRRefD20_10x" localSheetId="57">'315'!$D$80:$I$80</definedName>
    <definedName name="OSRRefD20_10x" localSheetId="60">'316'!$D$67:$I$67</definedName>
    <definedName name="OSRRefD20_10x" localSheetId="66">'321'!$D$64:$I$64</definedName>
    <definedName name="OSRRefD20_10x" localSheetId="68">'325'!$D$61:$I$61</definedName>
    <definedName name="OSRRefD20_10x" localSheetId="58">'326'!$D$63:$I$63</definedName>
    <definedName name="OSRRefD20_10x" localSheetId="51">'330'!$D$69:$I$69</definedName>
    <definedName name="OSRRefD20_10x" localSheetId="56">'331'!$D$80:$I$80</definedName>
    <definedName name="OSRRefD20_10x" localSheetId="59">'332'!$D$67:$I$67</definedName>
    <definedName name="OSRRefD20_10x" localSheetId="73">'405'!$D$64:$I$64</definedName>
    <definedName name="OSRRefD20_10x" localSheetId="75">'411'!$D$60:$I$60</definedName>
    <definedName name="OSRRefD20_10x" localSheetId="79">'415'!$D$63:$I$63</definedName>
    <definedName name="OSRRefD20_10x" localSheetId="80">'418'!$D$64:$I$64</definedName>
    <definedName name="OSRRefD20_10x" localSheetId="87">'433'!$D$63:$I$63</definedName>
    <definedName name="OSRRefD20_10x" localSheetId="88">'444'!$D$63:$I$63</definedName>
    <definedName name="OSRRefD20_10x" localSheetId="89">'450'!$D$63:$I$63</definedName>
    <definedName name="OSRRefD20_10x" localSheetId="72">'491'!$D$65:$I$65</definedName>
    <definedName name="OSRRefD20_10x" localSheetId="85">'492'!$D$63:$I$63</definedName>
    <definedName name="OSRRefD20_10x" localSheetId="91">'501'!$D$59:$I$59</definedName>
    <definedName name="OSRRefD20_10x" localSheetId="39">'Div 2'!$D$58:$I$58</definedName>
    <definedName name="OSRRefD20_10x" localSheetId="47">'Div 3'!$D$96:$I$96</definedName>
    <definedName name="OSRRefD20_10x" localSheetId="70">'Div 4'!$D$67:$I$67</definedName>
    <definedName name="OSRRefD20_10x" localSheetId="90">'Div 5'!$D$59:$I$59</definedName>
    <definedName name="OSRRefD20_10x" localSheetId="2">Summary!$D$104:$I$104</definedName>
    <definedName name="OSRRefD20_11x" localSheetId="41">'201'!$D$60:$I$60</definedName>
    <definedName name="OSRRefD20_11x" localSheetId="42">'202'!$D$59:$I$59</definedName>
    <definedName name="OSRRefD20_11x" localSheetId="43">'203'!$D$61:$I$61</definedName>
    <definedName name="OSRRefD20_11x" localSheetId="48">'300'!$D$95:$I$95</definedName>
    <definedName name="OSRRefD20_11x" localSheetId="49">'300 &amp; 317'!$D$101:$I$101</definedName>
    <definedName name="OSRRefD20_11x" localSheetId="50">'301'!$D$61:$I$61</definedName>
    <definedName name="OSRRefD20_11x" localSheetId="52">'307'!$D$72:$I$72</definedName>
    <definedName name="OSRRefD20_11x" localSheetId="53">'308'!$D$77:$I$77</definedName>
    <definedName name="OSRRefD20_11x" localSheetId="63">'310'!$D$65:$I$65</definedName>
    <definedName name="OSRRefD20_11x" localSheetId="71">'310 &amp; 491'!$D$68:$I$68</definedName>
    <definedName name="OSRRefD20_11x" localSheetId="54">'311'!$D$77:$I$77</definedName>
    <definedName name="OSRRefD20_11x" localSheetId="57">'315'!$D$82:$I$82</definedName>
    <definedName name="OSRRefD20_11x" localSheetId="66">'321'!$D$66:$I$66</definedName>
    <definedName name="OSRRefD20_11x" localSheetId="68">'325'!$D$63:$I$63</definedName>
    <definedName name="OSRRefD20_11x" localSheetId="58">'326'!$D$65:$I$65</definedName>
    <definedName name="OSRRefD20_11x" localSheetId="51">'330'!$D$72:$I$72</definedName>
    <definedName name="OSRRefD20_11x" localSheetId="56">'331'!$D$82:$I$82</definedName>
    <definedName name="OSRRefD20_11x" localSheetId="73">'405'!$D$68:$I$68</definedName>
    <definedName name="OSRRefD20_11x" localSheetId="75">'411'!$D$62:$I$62</definedName>
    <definedName name="OSRRefD20_11x" localSheetId="79">'415'!$D$65:$I$65</definedName>
    <definedName name="OSRRefD20_11x" localSheetId="80">'418'!$D$66:$I$66</definedName>
    <definedName name="OSRRefD20_11x" localSheetId="87">'433'!$D$65:$I$65</definedName>
    <definedName name="OSRRefD20_11x" localSheetId="88">'444'!$D$65:$I$65</definedName>
    <definedName name="OSRRefD20_11x" localSheetId="89">'450'!$D$65:$I$65</definedName>
    <definedName name="OSRRefD20_11x" localSheetId="72">'491'!$D$67:$I$67</definedName>
    <definedName name="OSRRefD20_11x" localSheetId="85">'492'!$D$65:$I$65</definedName>
    <definedName name="OSRRefD20_11x" localSheetId="91">'501'!$D$61:$I$61</definedName>
    <definedName name="OSRRefD20_11x" localSheetId="39">'Div 2'!$D$60:$I$60</definedName>
    <definedName name="OSRRefD20_11x" localSheetId="47">'Div 3'!$D$99:$I$99</definedName>
    <definedName name="OSRRefD20_11x" localSheetId="70">'Div 4'!$D$69:$I$69</definedName>
    <definedName name="OSRRefD20_11x" localSheetId="90">'Div 5'!$D$61:$I$61</definedName>
    <definedName name="OSRRefD20_11x" localSheetId="2">Summary!$D$107:$I$107</definedName>
    <definedName name="OSRRefD20_12x" localSheetId="41">'201'!$D$62:$I$62</definedName>
    <definedName name="OSRRefD20_12x" localSheetId="42">'202'!$D$61:$I$61</definedName>
    <definedName name="OSRRefD20_12x" localSheetId="43">'203'!$D$66:$I$66</definedName>
    <definedName name="OSRRefD20_12x" localSheetId="48">'300'!$D$97:$I$97</definedName>
    <definedName name="OSRRefD20_12x" localSheetId="49">'300 &amp; 317'!$D$103:$I$103</definedName>
    <definedName name="OSRRefD20_12x" localSheetId="50">'301'!$D$63:$I$63</definedName>
    <definedName name="OSRRefD20_12x" localSheetId="52">'307'!$D$77:$I$77</definedName>
    <definedName name="OSRRefD20_12x" localSheetId="53">'308'!$D$80:$I$80</definedName>
    <definedName name="OSRRefD20_12x" localSheetId="63">'310'!$D$68:$I$68</definedName>
    <definedName name="OSRRefD20_12x" localSheetId="71">'310 &amp; 491'!$D$70:$I$70</definedName>
    <definedName name="OSRRefD20_12x" localSheetId="54">'311'!$D$80:$I$80</definedName>
    <definedName name="OSRRefD20_12x" localSheetId="57">'315'!$D$84:$I$84</definedName>
    <definedName name="OSRRefD20_12x" localSheetId="68">'325'!$D$66:$I$66</definedName>
    <definedName name="OSRRefD20_12x" localSheetId="58">'326'!$D$68:$I$68</definedName>
    <definedName name="OSRRefD20_12x" localSheetId="51">'330'!$D$77:$I$77</definedName>
    <definedName name="OSRRefD20_12x" localSheetId="56">'331'!$D$84:$I$84</definedName>
    <definedName name="OSRRefD20_12x" localSheetId="73">'405'!$D$70:$I$70</definedName>
    <definedName name="OSRRefD20_12x" localSheetId="75">'411'!$D$64:$I$64</definedName>
    <definedName name="OSRRefD20_12x" localSheetId="79">'415'!$D$68:$I$68</definedName>
    <definedName name="OSRRefD20_12x" localSheetId="80">'418'!$D$74:$I$74</definedName>
    <definedName name="OSRRefD20_12x" localSheetId="87">'433'!$D$69:$I$69</definedName>
    <definedName name="OSRRefD20_12x" localSheetId="88">'444'!$D$68:$I$68</definedName>
    <definedName name="OSRRefD20_12x" localSheetId="89">'450'!$D$68:$I$68</definedName>
    <definedName name="OSRRefD20_12x" localSheetId="72">'491'!$D$69:$I$69</definedName>
    <definedName name="OSRRefD20_12x" localSheetId="85">'492'!$D$67:$I$67</definedName>
    <definedName name="OSRRefD20_12x" localSheetId="91">'501'!$D$65:$I$65</definedName>
    <definedName name="OSRRefD20_12x" localSheetId="39">'Div 2'!$D$62:$I$62</definedName>
    <definedName name="OSRRefD20_12x" localSheetId="47">'Div 3'!$D$101:$I$101</definedName>
    <definedName name="OSRRefD20_12x" localSheetId="70">'Div 4'!$D$71:$I$71</definedName>
    <definedName name="OSRRefD20_12x" localSheetId="90">'Div 5'!$D$65:$I$65</definedName>
    <definedName name="OSRRefD20_12x" localSheetId="2">Summary!$D$110:$I$110</definedName>
    <definedName name="OSRRefD20_13x" localSheetId="41">'201'!$D$65:$I$65</definedName>
    <definedName name="OSRRefD20_13x" localSheetId="43">'203'!$D$68:$I$68</definedName>
    <definedName name="OSRRefD20_13x" localSheetId="48">'300'!$D$99:$I$99</definedName>
    <definedName name="OSRRefD20_13x" localSheetId="49">'300 &amp; 317'!$D$105:$I$105</definedName>
    <definedName name="OSRRefD20_13x" localSheetId="50">'301'!$D$65:$I$65</definedName>
    <definedName name="OSRRefD20_13x" localSheetId="63">'310'!$D$70:$I$70</definedName>
    <definedName name="OSRRefD20_13x" localSheetId="71">'310 &amp; 491'!$D$75:$I$75</definedName>
    <definedName name="OSRRefD20_13x" localSheetId="57">'315'!$D$87:$I$87</definedName>
    <definedName name="OSRRefD20_13x" localSheetId="68">'325'!$D$70:$I$70</definedName>
    <definedName name="OSRRefD20_13x" localSheetId="58">'326'!$D$71:$I$71</definedName>
    <definedName name="OSRRefD20_13x" localSheetId="56">'331'!$D$86:$I$86</definedName>
    <definedName name="OSRRefD20_13x" localSheetId="73">'405'!$D$79:$I$79</definedName>
    <definedName name="OSRRefD20_13x" localSheetId="75">'411'!$D$66:$I$66</definedName>
    <definedName name="OSRRefD20_13x" localSheetId="79">'415'!$D$73:$I$73</definedName>
    <definedName name="OSRRefD20_13x" localSheetId="80">'418'!$D$77:$I$77</definedName>
    <definedName name="OSRRefD20_13x" localSheetId="87">'433'!$D$74:$I$74</definedName>
    <definedName name="OSRRefD20_13x" localSheetId="88">'444'!$D$73:$I$73</definedName>
    <definedName name="OSRRefD20_13x" localSheetId="89">'450'!$D$73:$I$73</definedName>
    <definedName name="OSRRefD20_13x" localSheetId="72">'491'!$D$74:$I$74</definedName>
    <definedName name="OSRRefD20_13x" localSheetId="85">'492'!$D$71:$I$71</definedName>
    <definedName name="OSRRefD20_13x" localSheetId="91">'501'!$D$67:$I$67</definedName>
    <definedName name="OSRRefD20_13x" localSheetId="39">'Div 2'!$D$67:$I$67</definedName>
    <definedName name="OSRRefD20_13x" localSheetId="47">'Div 3'!$D$103:$I$103</definedName>
    <definedName name="OSRRefD20_13x" localSheetId="70">'Div 4'!$D$73:$I$73</definedName>
    <definedName name="OSRRefD20_13x" localSheetId="90">'Div 5'!$D$67:$I$67</definedName>
    <definedName name="OSRRefD20_13x" localSheetId="2">Summary!$D$112:$I$112</definedName>
    <definedName name="OSRRefD20_14x" localSheetId="41">'201'!$D$67:$I$67</definedName>
    <definedName name="OSRRefD20_14x" localSheetId="48">'300'!$D$101:$I$101</definedName>
    <definedName name="OSRRefD20_14x" localSheetId="49">'300 &amp; 317'!$D$107:$I$107</definedName>
    <definedName name="OSRRefD20_14x" localSheetId="50">'301'!$D$67:$I$67</definedName>
    <definedName name="OSRRefD20_14x" localSheetId="63">'310'!$D$74:$I$74</definedName>
    <definedName name="OSRRefD20_14x" localSheetId="71">'310 &amp; 491'!$D$78:$I$78</definedName>
    <definedName name="OSRRefD20_14x" localSheetId="57">'315'!$D$91:$I$91</definedName>
    <definedName name="OSRRefD20_14x" localSheetId="68">'325'!$D$76:$I$76</definedName>
    <definedName name="OSRRefD20_14x" localSheetId="58">'326'!$D$74:$I$74</definedName>
    <definedName name="OSRRefD20_14x" localSheetId="56">'331'!$D$88:$I$88</definedName>
    <definedName name="OSRRefD20_14x" localSheetId="73">'405'!$D$81:$I$81</definedName>
    <definedName name="OSRRefD20_14x" localSheetId="75">'411'!$D$68:$I$68</definedName>
    <definedName name="OSRRefD20_14x" localSheetId="79">'415'!$D$75:$I$75</definedName>
    <definedName name="OSRRefD20_14x" localSheetId="80">'418'!$D$79:$I$79</definedName>
    <definedName name="OSRRefD20_14x" localSheetId="87">'433'!$D$83:$I$83</definedName>
    <definedName name="OSRRefD20_14x" localSheetId="88">'444'!$D$82:$I$82</definedName>
    <definedName name="OSRRefD20_14x" localSheetId="89">'450'!$D$81:$I$81</definedName>
    <definedName name="OSRRefD20_14x" localSheetId="72">'491'!$D$76:$I$76</definedName>
    <definedName name="OSRRefD20_14x" localSheetId="85">'492'!$D$76:$I$76</definedName>
    <definedName name="OSRRefD20_14x" localSheetId="39">'Div 2'!$D$72:$I$72</definedName>
    <definedName name="OSRRefD20_14x" localSheetId="47">'Div 3'!$D$105:$I$105</definedName>
    <definedName name="OSRRefD20_14x" localSheetId="70">'Div 4'!$D$75:$I$75</definedName>
    <definedName name="OSRRefD20_14x" localSheetId="2">Summary!$D$114:$I$114</definedName>
    <definedName name="OSRRefD20_15x" localSheetId="48">'300'!$D$103:$I$103</definedName>
    <definedName name="OSRRefD20_15x" localSheetId="49">'300 &amp; 317'!$D$109:$I$109</definedName>
    <definedName name="OSRRefD20_15x" localSheetId="50">'301'!$D$69:$I$69</definedName>
    <definedName name="OSRRefD20_15x" localSheetId="63">'310'!$D$80:$I$80</definedName>
    <definedName name="OSRRefD20_15x" localSheetId="71">'310 &amp; 491'!$D$84:$I$84</definedName>
    <definedName name="OSRRefD20_15x" localSheetId="57">'315'!$D$94:$I$94</definedName>
    <definedName name="OSRRefD20_15x" localSheetId="68">'325'!$D$79:$I$79</definedName>
    <definedName name="OSRRefD20_15x" localSheetId="58">'326'!$D$78:$I$78</definedName>
    <definedName name="OSRRefD20_15x" localSheetId="56">'331'!$D$91:$I$91</definedName>
    <definedName name="OSRRefD20_15x" localSheetId="73">'405'!$D$83:$I$83</definedName>
    <definedName name="OSRRefD20_15x" localSheetId="79">'415'!$D$81:$I$81</definedName>
    <definedName name="OSRRefD20_15x" localSheetId="80">'418'!$D$81:$I$81</definedName>
    <definedName name="OSRRefD20_15x" localSheetId="87">'433'!$D$85:$I$85</definedName>
    <definedName name="OSRRefD20_15x" localSheetId="88">'444'!$D$84:$I$84</definedName>
    <definedName name="OSRRefD20_15x" localSheetId="89">'450'!$D$83:$I$83</definedName>
    <definedName name="OSRRefD20_15x" localSheetId="72">'491'!$D$82:$I$82</definedName>
    <definedName name="OSRRefD20_15x" localSheetId="85">'492'!$D$85:$I$85</definedName>
    <definedName name="OSRRefD20_15x" localSheetId="39">'Div 2'!$D$75:$I$75</definedName>
    <definedName name="OSRRefD20_15x" localSheetId="47">'Div 3'!$D$107:$I$107</definedName>
    <definedName name="OSRRefD20_15x" localSheetId="70">'Div 4'!$D$80:$I$80</definedName>
    <definedName name="OSRRefD20_15x" localSheetId="2">Summary!$D$116:$I$116</definedName>
    <definedName name="OSRRefD20_16x" localSheetId="48">'300'!$D$105:$I$105</definedName>
    <definedName name="OSRRefD20_16x" localSheetId="49">'300 &amp; 317'!$D$111:$I$111</definedName>
    <definedName name="OSRRefD20_16x" localSheetId="50">'301'!$D$74:$I$74</definedName>
    <definedName name="OSRRefD20_16x" localSheetId="63">'310'!$D$83:$I$83</definedName>
    <definedName name="OSRRefD20_16x" localSheetId="71">'310 &amp; 491'!$D$86:$I$86</definedName>
    <definedName name="OSRRefD20_16x" localSheetId="57">'315'!$D$99:$I$99</definedName>
    <definedName name="OSRRefD20_16x" localSheetId="58">'326'!$D$80:$I$80</definedName>
    <definedName name="OSRRefD20_16x" localSheetId="56">'331'!$D$95:$I$95</definedName>
    <definedName name="OSRRefD20_16x" localSheetId="73">'405'!$D$85:$I$85</definedName>
    <definedName name="OSRRefD20_16x" localSheetId="79">'415'!$D$84:$I$84</definedName>
    <definedName name="OSRRefD20_16x" localSheetId="89">'450'!$D$85:$I$85</definedName>
    <definedName name="OSRRefD20_16x" localSheetId="72">'491'!$D$84:$I$84</definedName>
    <definedName name="OSRRefD20_16x" localSheetId="85">'492'!$D$88:$I$88</definedName>
    <definedName name="OSRRefD20_16x" localSheetId="39">'Div 2'!$D$77:$I$77</definedName>
    <definedName name="OSRRefD20_16x" localSheetId="47">'Div 3'!$D$109:$I$109</definedName>
    <definedName name="OSRRefD20_16x" localSheetId="70">'Div 4'!$D$82:$I$82</definedName>
    <definedName name="OSRRefD20_16x" localSheetId="2">Summary!$D$118:$I$118</definedName>
    <definedName name="OSRRefD20_17x" localSheetId="48">'300'!$D$110:$I$110</definedName>
    <definedName name="OSRRefD20_17x" localSheetId="49">'300 &amp; 317'!$D$116:$I$116</definedName>
    <definedName name="OSRRefD20_17x" localSheetId="50">'301'!$D$77:$I$77</definedName>
    <definedName name="OSRRefD20_17x" localSheetId="63">'310'!$D$85:$I$85</definedName>
    <definedName name="OSRRefD20_17x" localSheetId="71">'310 &amp; 491'!$D$97:$I$97</definedName>
    <definedName name="OSRRefD20_17x" localSheetId="57">'315'!$D$101:$I$101</definedName>
    <definedName name="OSRRefD20_17x" localSheetId="58">'326'!$D$83:$I$83</definedName>
    <definedName name="OSRRefD20_17x" localSheetId="56">'331'!$D$98:$I$98</definedName>
    <definedName name="OSRRefD20_17x" localSheetId="79">'415'!$D$86:$I$86</definedName>
    <definedName name="OSRRefD20_17x" localSheetId="72">'491'!$D$94:$I$94</definedName>
    <definedName name="OSRRefD20_17x" localSheetId="85">'492'!$D$90:$I$90</definedName>
    <definedName name="OSRRefD20_17x" localSheetId="39">'Div 2'!$D$83:$I$83</definedName>
    <definedName name="OSRRefD20_17x" localSheetId="47">'Div 3'!$D$111:$I$111</definedName>
    <definedName name="OSRRefD20_17x" localSheetId="70">'Div 4'!$D$88:$I$88</definedName>
    <definedName name="OSRRefD20_17x" localSheetId="2">Summary!$D$120:$I$120</definedName>
    <definedName name="OSRRefD20_18x" localSheetId="48">'300'!$D$115:$I$115</definedName>
    <definedName name="OSRRefD20_18x" localSheetId="49">'300 &amp; 317'!$D$121:$I$121</definedName>
    <definedName name="OSRRefD20_18x" localSheetId="50">'301'!$D$79:$I$79</definedName>
    <definedName name="OSRRefD20_18x" localSheetId="71">'310 &amp; 491'!$D$100:$I$100</definedName>
    <definedName name="OSRRefD20_18x" localSheetId="56">'331'!$D$101:$I$101</definedName>
    <definedName name="OSRRefD20_18x" localSheetId="72">'491'!$D$97:$I$97</definedName>
    <definedName name="OSRRefD20_18x" localSheetId="39">'Div 2'!$D$86:$I$86</definedName>
    <definedName name="OSRRefD20_18x" localSheetId="47">'Div 3'!$D$116:$I$116</definedName>
    <definedName name="OSRRefD20_18x" localSheetId="70">'Div 4'!$D$90:$I$90</definedName>
    <definedName name="OSRRefD20_18x" localSheetId="2">Summary!$D$122:$I$122</definedName>
    <definedName name="OSRRefD20_19x" localSheetId="48">'300'!$D$119:$I$119</definedName>
    <definedName name="OSRRefD20_19x" localSheetId="49">'300 &amp; 317'!$D$125:$I$125</definedName>
    <definedName name="OSRRefD20_19x" localSheetId="50">'301'!$D$86:$I$86</definedName>
    <definedName name="OSRRefD20_19x" localSheetId="71">'310 &amp; 491'!$D$102:$I$102</definedName>
    <definedName name="OSRRefD20_19x" localSheetId="56">'331'!$D$107:$I$107</definedName>
    <definedName name="OSRRefD20_19x" localSheetId="72">'491'!$D$99:$I$99</definedName>
    <definedName name="OSRRefD20_19x" localSheetId="39">'Div 2'!$D$88:$I$88</definedName>
    <definedName name="OSRRefD20_19x" localSheetId="47">'Div 3'!$D$121:$I$121</definedName>
    <definedName name="OSRRefD20_19x" localSheetId="70">'Div 4'!$D$101:$I$101</definedName>
    <definedName name="OSRRefD20_19x" localSheetId="2">Summary!$D$127:$I$127</definedName>
    <definedName name="OSRRefD20_1x" localSheetId="40">'200'!$D$20:$I$20</definedName>
    <definedName name="OSRRefD20_1x" localSheetId="41">'201'!$D$28:$I$28</definedName>
    <definedName name="OSRRefD20_1x" localSheetId="42">'202'!$D$28:$I$28</definedName>
    <definedName name="OSRRefD20_1x" localSheetId="43">'203'!$D$29:$I$29</definedName>
    <definedName name="OSRRefD20_1x" localSheetId="44">'204'!$D$28:$I$28</definedName>
    <definedName name="OSRRefD20_1x" localSheetId="45">'205'!$D$28:$I$28</definedName>
    <definedName name="OSRRefD20_1x" localSheetId="46">'206'!$D$28:$I$28</definedName>
    <definedName name="OSRRefD20_1x" localSheetId="48">'300'!$D$63:$I$63</definedName>
    <definedName name="OSRRefD20_1x" localSheetId="49">'300 &amp; 317'!$D$69:$I$69</definedName>
    <definedName name="OSRRefD20_1x" localSheetId="50">'301'!$D$30:$I$30</definedName>
    <definedName name="OSRRefD20_1x" localSheetId="52">'307'!$D$41:$I$41</definedName>
    <definedName name="OSRRefD20_1x" localSheetId="53">'308'!$D$44:$I$44</definedName>
    <definedName name="OSRRefD20_1x" localSheetId="64">'309'!$D$20:$I$20</definedName>
    <definedName name="OSRRefD20_1x" localSheetId="63">'310'!$D$35:$I$35</definedName>
    <definedName name="OSRRefD20_1x" localSheetId="71">'310 &amp; 491'!$D$37:$I$37</definedName>
    <definedName name="OSRRefD20_1x" localSheetId="54">'311'!$D$44:$I$44</definedName>
    <definedName name="OSRRefD20_1x" localSheetId="65">'313'!$D$20:$I$20</definedName>
    <definedName name="OSRRefD20_1x" localSheetId="57">'315'!$D$52:$I$52</definedName>
    <definedName name="OSRRefD20_1x" localSheetId="60">'316'!$D$35:$I$35</definedName>
    <definedName name="OSRRefD20_1x" localSheetId="62">'317'!$D$44:$I$44</definedName>
    <definedName name="OSRRefD20_1x" localSheetId="66">'321'!$D$32:$I$32</definedName>
    <definedName name="OSRRefD20_1x" localSheetId="68">'325'!$D$33:$I$33</definedName>
    <definedName name="OSRRefD20_1x" localSheetId="58">'326'!$D$36:$I$36</definedName>
    <definedName name="OSRRefD20_1x" localSheetId="51">'330'!$D$41:$I$41</definedName>
    <definedName name="OSRRefD20_1x" localSheetId="56">'331'!$D$52:$I$52</definedName>
    <definedName name="OSRRefD20_1x" localSheetId="59">'332'!$D$35:$I$35</definedName>
    <definedName name="OSRRefD20_1x" localSheetId="73">'405'!$D$35:$I$35</definedName>
    <definedName name="OSRRefD20_1x" localSheetId="75">'411'!$D$28:$I$28</definedName>
    <definedName name="OSRRefD20_1x" localSheetId="76">'412'!$D$20:$I$20</definedName>
    <definedName name="OSRRefD20_1x" localSheetId="77">'413'!$D$20:$I$20</definedName>
    <definedName name="OSRRefD20_1x" localSheetId="78">'414'!$D$20:$I$20</definedName>
    <definedName name="OSRRefD20_1x" localSheetId="79">'415'!$D$35:$I$35</definedName>
    <definedName name="OSRRefD20_1x" localSheetId="80">'418'!$D$32:$I$32</definedName>
    <definedName name="OSRRefD20_1x" localSheetId="81">'423'!$D$27:$I$27</definedName>
    <definedName name="OSRRefD20_1x" localSheetId="82">'424'!$D$20:$I$20</definedName>
    <definedName name="OSRRefD20_1x" localSheetId="84">'425'!$D$22:$I$22</definedName>
    <definedName name="OSRRefD20_1x" localSheetId="86">'430'!$D$28:$I$28</definedName>
    <definedName name="OSRRefD20_1x" localSheetId="87">'433'!$D$36:$I$36</definedName>
    <definedName name="OSRRefD20_1x" localSheetId="88">'444'!$D$36:$I$36</definedName>
    <definedName name="OSRRefD20_1x" localSheetId="89">'450'!$D$36:$I$36</definedName>
    <definedName name="OSRRefD20_1x" localSheetId="72">'491'!$D$36:$I$36</definedName>
    <definedName name="OSRRefD20_1x" localSheetId="85">'492'!$D$36:$I$36</definedName>
    <definedName name="OSRRefD20_1x" localSheetId="91">'501'!$D$30:$I$30</definedName>
    <definedName name="OSRRefD20_1x" localSheetId="39">'Div 2'!$D$30:$I$30</definedName>
    <definedName name="OSRRefD20_1x" localSheetId="47">'Div 3'!$D$67:$I$67</definedName>
    <definedName name="OSRRefD20_1x" localSheetId="70">'Div 4'!$D$38:$I$38</definedName>
    <definedName name="OSRRefD20_1x" localSheetId="90">'Div 5'!$D$30:$I$30</definedName>
    <definedName name="OSRRefD20_1x" localSheetId="61">'Div 6'!$D$44:$I$44</definedName>
    <definedName name="OSRRefD20_1x" localSheetId="2">Summary!$D$75:$I$75</definedName>
    <definedName name="OSRRefD20_20x" localSheetId="48">'300'!$D$122:$I$122</definedName>
    <definedName name="OSRRefD20_20x" localSheetId="49">'300 &amp; 317'!$D$128:$I$128</definedName>
    <definedName name="OSRRefD20_20x" localSheetId="50">'301'!$D$88:$I$88</definedName>
    <definedName name="OSRRefD20_20x" localSheetId="71">'310 &amp; 491'!$D$104:$I$104</definedName>
    <definedName name="OSRRefD20_20x" localSheetId="56">'331'!$D$109:$I$109</definedName>
    <definedName name="OSRRefD20_20x" localSheetId="72">'491'!$D$101:$I$101</definedName>
    <definedName name="OSRRefD20_20x" localSheetId="47">'Div 3'!$D$126:$I$126</definedName>
    <definedName name="OSRRefD20_20x" localSheetId="70">'Div 4'!$D$104:$I$104</definedName>
    <definedName name="OSRRefD20_20x" localSheetId="2">Summary!$D$132:$I$132</definedName>
    <definedName name="OSRRefD20_21x" localSheetId="48">'300'!$D$130:$I$130</definedName>
    <definedName name="OSRRefD20_21x" localSheetId="49">'300 &amp; 317'!$D$136:$I$136</definedName>
    <definedName name="OSRRefD20_21x" localSheetId="50">'301'!$D$90:$I$90</definedName>
    <definedName name="OSRRefD20_21x" localSheetId="56">'331'!$D$112:$I$112</definedName>
    <definedName name="OSRRefD20_21x" localSheetId="47">'Div 3'!$D$129:$I$129</definedName>
    <definedName name="OSRRefD20_21x" localSheetId="70">'Div 4'!$D$106:$I$106</definedName>
    <definedName name="OSRRefD20_21x" localSheetId="2">Summary!$D$138:$I$138</definedName>
    <definedName name="OSRRefD20_22x" localSheetId="48">'300'!$D$133:$I$133</definedName>
    <definedName name="OSRRefD20_22x" localSheetId="49">'300 &amp; 317'!$D$139:$I$139</definedName>
    <definedName name="OSRRefD20_22x" localSheetId="50">'301'!$D$93:$I$93</definedName>
    <definedName name="OSRRefD20_22x" localSheetId="47">'Div 3'!$D$137:$I$137</definedName>
    <definedName name="OSRRefD20_22x" localSheetId="70">'Div 4'!$D$109:$I$109</definedName>
    <definedName name="OSRRefD20_22x" localSheetId="2">Summary!$D$141:$I$141</definedName>
    <definedName name="OSRRefD20_23x" localSheetId="48">'300'!$D$135:$I$135</definedName>
    <definedName name="OSRRefD20_23x" localSheetId="49">'300 &amp; 317'!$D$141:$I$141</definedName>
    <definedName name="OSRRefD20_23x" localSheetId="47">'Div 3'!$D$140:$I$140</definedName>
    <definedName name="OSRRefD20_23x" localSheetId="2">Summary!$D$152:$I$152</definedName>
    <definedName name="OSRRefD20_24x" localSheetId="48">'300'!$D$139:$I$139</definedName>
    <definedName name="OSRRefD20_24x" localSheetId="49">'300 &amp; 317'!$D$145:$I$145</definedName>
    <definedName name="OSRRefD20_24x" localSheetId="47">'Div 3'!$D$142:$I$142</definedName>
    <definedName name="OSRRefD20_24x" localSheetId="2">Summary!$D$155:$I$155</definedName>
    <definedName name="OSRRefD20_25x" localSheetId="47">'Div 3'!$D$146:$I$146</definedName>
    <definedName name="OSRRefD20_25x" localSheetId="2">Summary!$D$157:$I$157</definedName>
    <definedName name="OSRRefD20_26x" localSheetId="2">Summary!$D$161:$I$161</definedName>
    <definedName name="OSRRefD20_2x" localSheetId="40">'200'!$D$22:$I$22</definedName>
    <definedName name="OSRRefD20_2x" localSheetId="41">'201'!$D$39:$I$39</definedName>
    <definedName name="OSRRefD20_2x" localSheetId="42">'202'!$D$39:$I$39</definedName>
    <definedName name="OSRRefD20_2x" localSheetId="43">'203'!$D$40:$I$40</definedName>
    <definedName name="OSRRefD20_2x" localSheetId="44">'204'!$D$39:$I$39</definedName>
    <definedName name="OSRRefD20_2x" localSheetId="45">'205'!$D$39:$I$39</definedName>
    <definedName name="OSRRefD20_2x" localSheetId="46">'206'!$D$39:$I$39</definedName>
    <definedName name="OSRRefD20_2x" localSheetId="48">'300'!$D$74:$I$74</definedName>
    <definedName name="OSRRefD20_2x" localSheetId="49">'300 &amp; 317'!$D$80:$I$80</definedName>
    <definedName name="OSRRefD20_2x" localSheetId="50">'301'!$D$41:$I$41</definedName>
    <definedName name="OSRRefD20_2x" localSheetId="52">'307'!$D$52:$I$52</definedName>
    <definedName name="OSRRefD20_2x" localSheetId="53">'308'!$D$55:$I$55</definedName>
    <definedName name="OSRRefD20_2x" localSheetId="64">'309'!$D$22:$I$22</definedName>
    <definedName name="OSRRefD20_2x" localSheetId="63">'310'!$D$46:$I$46</definedName>
    <definedName name="OSRRefD20_2x" localSheetId="71">'310 &amp; 491'!$D$48:$I$48</definedName>
    <definedName name="OSRRefD20_2x" localSheetId="54">'311'!$D$55:$I$55</definedName>
    <definedName name="OSRRefD20_2x" localSheetId="65">'313'!$D$22:$I$22</definedName>
    <definedName name="OSRRefD20_2x" localSheetId="57">'315'!$D$63:$I$63</definedName>
    <definedName name="OSRRefD20_2x" localSheetId="60">'316'!$D$46:$I$46</definedName>
    <definedName name="OSRRefD20_2x" localSheetId="62">'317'!$D$55:$I$55</definedName>
    <definedName name="OSRRefD20_2x" localSheetId="66">'321'!$D$43:$I$43</definedName>
    <definedName name="OSRRefD20_2x" localSheetId="68">'325'!$D$44:$I$44</definedName>
    <definedName name="OSRRefD20_2x" localSheetId="58">'326'!$D$47:$I$47</definedName>
    <definedName name="OSRRefD20_2x" localSheetId="51">'330'!$D$52:$I$52</definedName>
    <definedName name="OSRRefD20_2x" localSheetId="56">'331'!$D$63:$I$63</definedName>
    <definedName name="OSRRefD20_2x" localSheetId="59">'332'!$D$46:$I$46</definedName>
    <definedName name="OSRRefD20_2x" localSheetId="73">'405'!$D$46:$I$46</definedName>
    <definedName name="OSRRefD20_2x" localSheetId="75">'411'!$D$39:$I$39</definedName>
    <definedName name="OSRRefD20_2x" localSheetId="76">'412'!$D$22:$I$22</definedName>
    <definedName name="OSRRefD20_2x" localSheetId="79">'415'!$D$46:$I$46</definedName>
    <definedName name="OSRRefD20_2x" localSheetId="80">'418'!$D$43:$I$43</definedName>
    <definedName name="OSRRefD20_2x" localSheetId="81">'423'!$D$38:$I$38</definedName>
    <definedName name="OSRRefD20_2x" localSheetId="84">'425'!$D$24:$I$24</definedName>
    <definedName name="OSRRefD20_2x" localSheetId="86">'430'!$D$39:$I$39</definedName>
    <definedName name="OSRRefD20_2x" localSheetId="87">'433'!$D$47:$I$47</definedName>
    <definedName name="OSRRefD20_2x" localSheetId="88">'444'!$D$47:$I$47</definedName>
    <definedName name="OSRRefD20_2x" localSheetId="89">'450'!$D$47:$I$47</definedName>
    <definedName name="OSRRefD20_2x" localSheetId="72">'491'!$D$47:$I$47</definedName>
    <definedName name="OSRRefD20_2x" localSheetId="85">'492'!$D$47:$I$47</definedName>
    <definedName name="OSRRefD20_2x" localSheetId="91">'501'!$D$41:$I$41</definedName>
    <definedName name="OSRRefD20_2x" localSheetId="39">'Div 2'!$D$41:$I$41</definedName>
    <definedName name="OSRRefD20_2x" localSheetId="47">'Div 3'!$D$78:$I$78</definedName>
    <definedName name="OSRRefD20_2x" localSheetId="70">'Div 4'!$D$49:$I$49</definedName>
    <definedName name="OSRRefD20_2x" localSheetId="90">'Div 5'!$D$41:$I$41</definedName>
    <definedName name="OSRRefD20_2x" localSheetId="61">'Div 6'!$D$55:$I$55</definedName>
    <definedName name="OSRRefD20_2x" localSheetId="2">Summary!$D$86:$I$86</definedName>
    <definedName name="OSRRefD20_3x" localSheetId="40">'200'!$D$24:$I$24</definedName>
    <definedName name="OSRRefD20_3x" localSheetId="41">'201'!$D$41:$I$41</definedName>
    <definedName name="OSRRefD20_3x" localSheetId="42">'202'!$D$41:$I$41</definedName>
    <definedName name="OSRRefD20_3x" localSheetId="43">'203'!$D$42:$I$42</definedName>
    <definedName name="OSRRefD20_3x" localSheetId="44">'204'!$D$42:$I$42</definedName>
    <definedName name="OSRRefD20_3x" localSheetId="45">'205'!$D$41:$I$41</definedName>
    <definedName name="OSRRefD20_3x" localSheetId="46">'206'!$D$41:$I$41</definedName>
    <definedName name="OSRRefD20_3x" localSheetId="48">'300'!$D$76:$I$76</definedName>
    <definedName name="OSRRefD20_3x" localSheetId="49">'300 &amp; 317'!$D$82:$I$82</definedName>
    <definedName name="OSRRefD20_3x" localSheetId="50">'301'!$D$43:$I$43</definedName>
    <definedName name="OSRRefD20_3x" localSheetId="52">'307'!$D$54:$I$54</definedName>
    <definedName name="OSRRefD20_3x" localSheetId="53">'308'!$D$57:$I$57</definedName>
    <definedName name="OSRRefD20_3x" localSheetId="64">'309'!$D$24:$I$24</definedName>
    <definedName name="OSRRefD20_3x" localSheetId="63">'310'!$D$48:$I$48</definedName>
    <definedName name="OSRRefD20_3x" localSheetId="71">'310 &amp; 491'!$D$50:$I$50</definedName>
    <definedName name="OSRRefD20_3x" localSheetId="54">'311'!$D$57:$I$57</definedName>
    <definedName name="OSRRefD20_3x" localSheetId="57">'315'!$D$65:$I$65</definedName>
    <definedName name="OSRRefD20_3x" localSheetId="60">'316'!$D$48:$I$48</definedName>
    <definedName name="OSRRefD20_3x" localSheetId="62">'317'!$D$57:$I$57</definedName>
    <definedName name="OSRRefD20_3x" localSheetId="66">'321'!$D$45:$I$45</definedName>
    <definedName name="OSRRefD20_3x" localSheetId="68">'325'!$D$46:$I$46</definedName>
    <definedName name="OSRRefD20_3x" localSheetId="58">'326'!$D$49:$I$49</definedName>
    <definedName name="OSRRefD20_3x" localSheetId="51">'330'!$D$54:$I$54</definedName>
    <definedName name="OSRRefD20_3x" localSheetId="56">'331'!$D$65:$I$65</definedName>
    <definedName name="OSRRefD20_3x" localSheetId="59">'332'!$D$48:$I$48</definedName>
    <definedName name="OSRRefD20_3x" localSheetId="73">'405'!$D$48:$I$48</definedName>
    <definedName name="OSRRefD20_3x" localSheetId="75">'411'!$D$41:$I$41</definedName>
    <definedName name="OSRRefD20_3x" localSheetId="79">'415'!$D$48:$I$48</definedName>
    <definedName name="OSRRefD20_3x" localSheetId="80">'418'!$D$45:$I$45</definedName>
    <definedName name="OSRRefD20_3x" localSheetId="81">'423'!$D$40:$I$40</definedName>
    <definedName name="OSRRefD20_3x" localSheetId="84">'425'!$D$26:$I$26</definedName>
    <definedName name="OSRRefD20_3x" localSheetId="86">'430'!$D$41:$I$41</definedName>
    <definedName name="OSRRefD20_3x" localSheetId="87">'433'!$D$49:$I$49</definedName>
    <definedName name="OSRRefD20_3x" localSheetId="88">'444'!$D$49:$I$49</definedName>
    <definedName name="OSRRefD20_3x" localSheetId="89">'450'!$D$49:$I$49</definedName>
    <definedName name="OSRRefD20_3x" localSheetId="72">'491'!$D$49:$I$49</definedName>
    <definedName name="OSRRefD20_3x" localSheetId="85">'492'!$D$49:$I$49</definedName>
    <definedName name="OSRRefD20_3x" localSheetId="91">'501'!$D$43:$I$43</definedName>
    <definedName name="OSRRefD20_3x" localSheetId="39">'Div 2'!$D$43:$I$43</definedName>
    <definedName name="OSRRefD20_3x" localSheetId="47">'Div 3'!$D$80:$I$80</definedName>
    <definedName name="OSRRefD20_3x" localSheetId="70">'Div 4'!$D$51:$I$51</definedName>
    <definedName name="OSRRefD20_3x" localSheetId="90">'Div 5'!$D$43:$I$43</definedName>
    <definedName name="OSRRefD20_3x" localSheetId="61">'Div 6'!$D$57:$I$57</definedName>
    <definedName name="OSRRefD20_3x" localSheetId="2">Summary!$D$88:$I$88</definedName>
    <definedName name="OSRRefD20_4x" localSheetId="41">'201'!$D$43:$I$43</definedName>
    <definedName name="OSRRefD20_4x" localSheetId="42">'202'!$D$43:$I$43</definedName>
    <definedName name="OSRRefD20_4x" localSheetId="43">'203'!$D$44:$I$44</definedName>
    <definedName name="OSRRefD20_4x" localSheetId="44">'204'!$D$44:$I$44</definedName>
    <definedName name="OSRRefD20_4x" localSheetId="45">'205'!$D$43:$I$43</definedName>
    <definedName name="OSRRefD20_4x" localSheetId="46">'206'!$D$44:$I$44</definedName>
    <definedName name="OSRRefD20_4x" localSheetId="48">'300'!$D$78:$I$78</definedName>
    <definedName name="OSRRefD20_4x" localSheetId="49">'300 &amp; 317'!$D$84:$I$84</definedName>
    <definedName name="OSRRefD20_4x" localSheetId="50">'301'!$D$45:$I$45</definedName>
    <definedName name="OSRRefD20_4x" localSheetId="52">'307'!$D$56:$I$56</definedName>
    <definedName name="OSRRefD20_4x" localSheetId="53">'308'!$D$59:$I$59</definedName>
    <definedName name="OSRRefD20_4x" localSheetId="64">'309'!$D$26:$I$26</definedName>
    <definedName name="OSRRefD20_4x" localSheetId="63">'310'!$D$50:$I$50</definedName>
    <definedName name="OSRRefD20_4x" localSheetId="71">'310 &amp; 491'!$D$52:$I$52</definedName>
    <definedName name="OSRRefD20_4x" localSheetId="54">'311'!$D$59:$I$59</definedName>
    <definedName name="OSRRefD20_4x" localSheetId="57">'315'!$D$67:$I$67</definedName>
    <definedName name="OSRRefD20_4x" localSheetId="60">'316'!$D$50:$I$50</definedName>
    <definedName name="OSRRefD20_4x" localSheetId="62">'317'!$D$59:$I$59</definedName>
    <definedName name="OSRRefD20_4x" localSheetId="66">'321'!$D$47:$I$47</definedName>
    <definedName name="OSRRefD20_4x" localSheetId="68">'325'!$D$48:$I$48</definedName>
    <definedName name="OSRRefD20_4x" localSheetId="58">'326'!$D$51:$I$51</definedName>
    <definedName name="OSRRefD20_4x" localSheetId="51">'330'!$D$56:$I$56</definedName>
    <definedName name="OSRRefD20_4x" localSheetId="56">'331'!$D$67:$I$67</definedName>
    <definedName name="OSRRefD20_4x" localSheetId="59">'332'!$D$50:$I$50</definedName>
    <definedName name="OSRRefD20_4x" localSheetId="73">'405'!$D$50:$I$50</definedName>
    <definedName name="OSRRefD20_4x" localSheetId="75">'411'!$D$44:$I$44</definedName>
    <definedName name="OSRRefD20_4x" localSheetId="79">'415'!$D$50:$I$50</definedName>
    <definedName name="OSRRefD20_4x" localSheetId="80">'418'!$D$47:$I$47</definedName>
    <definedName name="OSRRefD20_4x" localSheetId="81">'423'!$D$42:$I$42</definedName>
    <definedName name="OSRRefD20_4x" localSheetId="84">'425'!$D$28:$I$28</definedName>
    <definedName name="OSRRefD20_4x" localSheetId="86">'430'!$D$43:$I$43</definedName>
    <definedName name="OSRRefD20_4x" localSheetId="87">'433'!$D$51:$I$51</definedName>
    <definedName name="OSRRefD20_4x" localSheetId="88">'444'!$D$51:$I$51</definedName>
    <definedName name="OSRRefD20_4x" localSheetId="89">'450'!$D$51:$I$51</definedName>
    <definedName name="OSRRefD20_4x" localSheetId="72">'491'!$D$51:$I$51</definedName>
    <definedName name="OSRRefD20_4x" localSheetId="85">'492'!$D$51:$I$51</definedName>
    <definedName name="OSRRefD20_4x" localSheetId="91">'501'!$D$45:$I$45</definedName>
    <definedName name="OSRRefD20_4x" localSheetId="39">'Div 2'!$D$45:$I$45</definedName>
    <definedName name="OSRRefD20_4x" localSheetId="47">'Div 3'!$D$82:$I$82</definedName>
    <definedName name="OSRRefD20_4x" localSheetId="70">'Div 4'!$D$53:$I$53</definedName>
    <definedName name="OSRRefD20_4x" localSheetId="90">'Div 5'!$D$45:$I$45</definedName>
    <definedName name="OSRRefD20_4x" localSheetId="61">'Div 6'!$D$59:$I$59</definedName>
    <definedName name="OSRRefD20_4x" localSheetId="2">Summary!$D$90:$I$90</definedName>
    <definedName name="OSRRefD20_5x" localSheetId="41">'201'!$D$45:$I$45</definedName>
    <definedName name="OSRRefD20_5x" localSheetId="42">'202'!$D$45:$I$45</definedName>
    <definedName name="OSRRefD20_5x" localSheetId="43">'203'!$D$46:$I$46</definedName>
    <definedName name="OSRRefD20_5x" localSheetId="44">'204'!$D$49:$I$49</definedName>
    <definedName name="OSRRefD20_5x" localSheetId="45">'205'!$D$47:$I$47</definedName>
    <definedName name="OSRRefD20_5x" localSheetId="46">'206'!$D$46:$I$46</definedName>
    <definedName name="OSRRefD20_5x" localSheetId="48">'300'!$D$80:$I$80</definedName>
    <definedName name="OSRRefD20_5x" localSheetId="49">'300 &amp; 317'!$D$86:$I$86</definedName>
    <definedName name="OSRRefD20_5x" localSheetId="50">'301'!$D$47:$I$47</definedName>
    <definedName name="OSRRefD20_5x" localSheetId="52">'307'!$D$58:$I$58</definedName>
    <definedName name="OSRRefD20_5x" localSheetId="53">'308'!$D$61:$I$61</definedName>
    <definedName name="OSRRefD20_5x" localSheetId="64">'309'!$D$29:$I$29</definedName>
    <definedName name="OSRRefD20_5x" localSheetId="63">'310'!$D$52:$I$52</definedName>
    <definedName name="OSRRefD20_5x" localSheetId="71">'310 &amp; 491'!$D$54:$I$54</definedName>
    <definedName name="OSRRefD20_5x" localSheetId="54">'311'!$D$61:$I$61</definedName>
    <definedName name="OSRRefD20_5x" localSheetId="57">'315'!$D$69:$I$69</definedName>
    <definedName name="OSRRefD20_5x" localSheetId="60">'316'!$D$52:$I$52</definedName>
    <definedName name="OSRRefD20_5x" localSheetId="62">'317'!$D$61:$I$61</definedName>
    <definedName name="OSRRefD20_5x" localSheetId="66">'321'!$D$49:$I$49</definedName>
    <definedName name="OSRRefD20_5x" localSheetId="68">'325'!$D$50:$I$50</definedName>
    <definedName name="OSRRefD20_5x" localSheetId="58">'326'!$D$53:$I$53</definedName>
    <definedName name="OSRRefD20_5x" localSheetId="51">'330'!$D$58:$I$58</definedName>
    <definedName name="OSRRefD20_5x" localSheetId="56">'331'!$D$69:$I$69</definedName>
    <definedName name="OSRRefD20_5x" localSheetId="59">'332'!$D$52:$I$52</definedName>
    <definedName name="OSRRefD20_5x" localSheetId="73">'405'!$D$52:$I$52</definedName>
    <definedName name="OSRRefD20_5x" localSheetId="75">'411'!$D$46:$I$46</definedName>
    <definedName name="OSRRefD20_5x" localSheetId="79">'415'!$D$52:$I$52</definedName>
    <definedName name="OSRRefD20_5x" localSheetId="80">'418'!$D$50:$I$50</definedName>
    <definedName name="OSRRefD20_5x" localSheetId="86">'430'!$D$45:$I$45</definedName>
    <definedName name="OSRRefD20_5x" localSheetId="87">'433'!$D$53:$I$53</definedName>
    <definedName name="OSRRefD20_5x" localSheetId="88">'444'!$D$53:$I$53</definedName>
    <definedName name="OSRRefD20_5x" localSheetId="89">'450'!$D$53:$I$53</definedName>
    <definedName name="OSRRefD20_5x" localSheetId="72">'491'!$D$53:$I$53</definedName>
    <definedName name="OSRRefD20_5x" localSheetId="85">'492'!$D$53:$I$53</definedName>
    <definedName name="OSRRefD20_5x" localSheetId="91">'501'!$D$47:$I$47</definedName>
    <definedName name="OSRRefD20_5x" localSheetId="39">'Div 2'!$D$47:$I$47</definedName>
    <definedName name="OSRRefD20_5x" localSheetId="47">'Div 3'!$D$84:$I$84</definedName>
    <definedName name="OSRRefD20_5x" localSheetId="70">'Div 4'!$D$55:$I$55</definedName>
    <definedName name="OSRRefD20_5x" localSheetId="90">'Div 5'!$D$47:$I$47</definedName>
    <definedName name="OSRRefD20_5x" localSheetId="61">'Div 6'!$D$61:$I$61</definedName>
    <definedName name="OSRRefD20_5x" localSheetId="2">Summary!$D$92:$I$92</definedName>
    <definedName name="OSRRefD20_6x" localSheetId="41">'201'!$D$47:$I$47</definedName>
    <definedName name="OSRRefD20_6x" localSheetId="42">'202'!$D$47:$I$47</definedName>
    <definedName name="OSRRefD20_6x" localSheetId="43">'203'!$D$48:$I$48</definedName>
    <definedName name="OSRRefD20_6x" localSheetId="44">'204'!$D$51:$I$51</definedName>
    <definedName name="OSRRefD20_6x" localSheetId="45">'205'!$D$49:$I$49</definedName>
    <definedName name="OSRRefD20_6x" localSheetId="48">'300'!$D$83:$I$83</definedName>
    <definedName name="OSRRefD20_6x" localSheetId="49">'300 &amp; 317'!$D$89:$I$89</definedName>
    <definedName name="OSRRefD20_6x" localSheetId="50">'301'!$D$50:$I$50</definedName>
    <definedName name="OSRRefD20_6x" localSheetId="52">'307'!$D$60:$I$60</definedName>
    <definedName name="OSRRefD20_6x" localSheetId="53">'308'!$D$63:$I$63</definedName>
    <definedName name="OSRRefD20_6x" localSheetId="64">'309'!$D$31:$I$31</definedName>
    <definedName name="OSRRefD20_6x" localSheetId="63">'310'!$D$55:$I$55</definedName>
    <definedName name="OSRRefD20_6x" localSheetId="71">'310 &amp; 491'!$D$57:$I$57</definedName>
    <definedName name="OSRRefD20_6x" localSheetId="54">'311'!$D$63:$I$63</definedName>
    <definedName name="OSRRefD20_6x" localSheetId="57">'315'!$D$71:$I$71</definedName>
    <definedName name="OSRRefD20_6x" localSheetId="60">'316'!$D$55:$I$55</definedName>
    <definedName name="OSRRefD20_6x" localSheetId="62">'317'!$D$63:$I$63</definedName>
    <definedName name="OSRRefD20_6x" localSheetId="66">'321'!$D$51:$I$51</definedName>
    <definedName name="OSRRefD20_6x" localSheetId="68">'325'!$D$53:$I$53</definedName>
    <definedName name="OSRRefD20_6x" localSheetId="58">'326'!$D$55:$I$55</definedName>
    <definedName name="OSRRefD20_6x" localSheetId="51">'330'!$D$60:$I$60</definedName>
    <definedName name="OSRRefD20_6x" localSheetId="56">'331'!$D$71:$I$71</definedName>
    <definedName name="OSRRefD20_6x" localSheetId="59">'332'!$D$55:$I$55</definedName>
    <definedName name="OSRRefD20_6x" localSheetId="73">'405'!$D$55:$I$55</definedName>
    <definedName name="OSRRefD20_6x" localSheetId="75">'411'!$D$48:$I$48</definedName>
    <definedName name="OSRRefD20_6x" localSheetId="79">'415'!$D$55:$I$55</definedName>
    <definedName name="OSRRefD20_6x" localSheetId="80">'418'!$D$52:$I$52</definedName>
    <definedName name="OSRRefD20_6x" localSheetId="86">'430'!$D$48:$I$48</definedName>
    <definedName name="OSRRefD20_6x" localSheetId="87">'433'!$D$55:$I$55</definedName>
    <definedName name="OSRRefD20_6x" localSheetId="88">'444'!$D$55:$I$55</definedName>
    <definedName name="OSRRefD20_6x" localSheetId="89">'450'!$D$55:$I$55</definedName>
    <definedName name="OSRRefD20_6x" localSheetId="72">'491'!$D$56:$I$56</definedName>
    <definedName name="OSRRefD20_6x" localSheetId="85">'492'!$D$55:$I$55</definedName>
    <definedName name="OSRRefD20_6x" localSheetId="91">'501'!$D$50:$I$50</definedName>
    <definedName name="OSRRefD20_6x" localSheetId="39">'Div 2'!$D$50:$I$50</definedName>
    <definedName name="OSRRefD20_6x" localSheetId="47">'Div 3'!$D$87:$I$87</definedName>
    <definedName name="OSRRefD20_6x" localSheetId="70">'Div 4'!$D$58:$I$58</definedName>
    <definedName name="OSRRefD20_6x" localSheetId="90">'Div 5'!$D$50:$I$50</definedName>
    <definedName name="OSRRefD20_6x" localSheetId="61">'Div 6'!$D$63:$I$63</definedName>
    <definedName name="OSRRefD20_6x" localSheetId="2">Summary!$D$95:$I$95</definedName>
    <definedName name="OSRRefD20_7x" localSheetId="41">'201'!$D$49:$I$49</definedName>
    <definedName name="OSRRefD20_7x" localSheetId="42">'202'!$D$49:$I$49</definedName>
    <definedName name="OSRRefD20_7x" localSheetId="43">'203'!$D$50:$I$50</definedName>
    <definedName name="OSRRefD20_7x" localSheetId="44">'204'!$D$53:$I$53</definedName>
    <definedName name="OSRRefD20_7x" localSheetId="45">'205'!$D$52:$I$52</definedName>
    <definedName name="OSRRefD20_7x" localSheetId="48">'300'!$D$86:$I$86</definedName>
    <definedName name="OSRRefD20_7x" localSheetId="49">'300 &amp; 317'!$D$92:$I$92</definedName>
    <definedName name="OSRRefD20_7x" localSheetId="50">'301'!$D$53:$I$53</definedName>
    <definedName name="OSRRefD20_7x" localSheetId="52">'307'!$D$62:$I$62</definedName>
    <definedName name="OSRRefD20_7x" localSheetId="53">'308'!$D$65:$I$65</definedName>
    <definedName name="OSRRefD20_7x" localSheetId="63">'310'!$D$57:$I$57</definedName>
    <definedName name="OSRRefD20_7x" localSheetId="71">'310 &amp; 491'!$D$59:$I$59</definedName>
    <definedName name="OSRRefD20_7x" localSheetId="54">'311'!$D$65:$I$65</definedName>
    <definedName name="OSRRefD20_7x" localSheetId="57">'315'!$D$73:$I$73</definedName>
    <definedName name="OSRRefD20_7x" localSheetId="60">'316'!$D$57:$I$57</definedName>
    <definedName name="OSRRefD20_7x" localSheetId="62">'317'!$D$65:$I$65</definedName>
    <definedName name="OSRRefD20_7x" localSheetId="66">'321'!$D$54:$I$54</definedName>
    <definedName name="OSRRefD20_7x" localSheetId="68">'325'!$D$55:$I$55</definedName>
    <definedName name="OSRRefD20_7x" localSheetId="58">'326'!$D$57:$I$57</definedName>
    <definedName name="OSRRefD20_7x" localSheetId="51">'330'!$D$62:$I$62</definedName>
    <definedName name="OSRRefD20_7x" localSheetId="56">'331'!$D$73:$I$73</definedName>
    <definedName name="OSRRefD20_7x" localSheetId="59">'332'!$D$57:$I$57</definedName>
    <definedName name="OSRRefD20_7x" localSheetId="73">'405'!$D$57:$I$57</definedName>
    <definedName name="OSRRefD20_7x" localSheetId="75">'411'!$D$50:$I$50</definedName>
    <definedName name="OSRRefD20_7x" localSheetId="79">'415'!$D$57:$I$57</definedName>
    <definedName name="OSRRefD20_7x" localSheetId="80">'418'!$D$54:$I$54</definedName>
    <definedName name="OSRRefD20_7x" localSheetId="86">'430'!$D$51:$I$51</definedName>
    <definedName name="OSRRefD20_7x" localSheetId="87">'433'!$D$57:$I$57</definedName>
    <definedName name="OSRRefD20_7x" localSheetId="88">'444'!$D$57:$I$57</definedName>
    <definedName name="OSRRefD20_7x" localSheetId="89">'450'!$D$57:$I$57</definedName>
    <definedName name="OSRRefD20_7x" localSheetId="72">'491'!$D$58:$I$58</definedName>
    <definedName name="OSRRefD20_7x" localSheetId="85">'492'!$D$57:$I$57</definedName>
    <definedName name="OSRRefD20_7x" localSheetId="91">'501'!$D$52:$I$52</definedName>
    <definedName name="OSRRefD20_7x" localSheetId="39">'Div 2'!$D$52:$I$52</definedName>
    <definedName name="OSRRefD20_7x" localSheetId="47">'Div 3'!$D$90:$I$90</definedName>
    <definedName name="OSRRefD20_7x" localSheetId="70">'Div 4'!$D$60:$I$60</definedName>
    <definedName name="OSRRefD20_7x" localSheetId="90">'Div 5'!$D$52:$I$52</definedName>
    <definedName name="OSRRefD20_7x" localSheetId="61">'Div 6'!$D$65:$I$65</definedName>
    <definedName name="OSRRefD20_7x" localSheetId="2">Summary!$D$98:$I$98</definedName>
    <definedName name="OSRRefD20_8x" localSheetId="41">'201'!$D$51:$I$51</definedName>
    <definedName name="OSRRefD20_8x" localSheetId="42">'202'!$D$53:$I$53</definedName>
    <definedName name="OSRRefD20_8x" localSheetId="43">'203'!$D$52:$I$52</definedName>
    <definedName name="OSRRefD20_8x" localSheetId="44">'204'!$D$56:$I$56</definedName>
    <definedName name="OSRRefD20_8x" localSheetId="48">'300'!$D$88:$I$88</definedName>
    <definedName name="OSRRefD20_8x" localSheetId="49">'300 &amp; 317'!$D$94:$I$94</definedName>
    <definedName name="OSRRefD20_8x" localSheetId="50">'301'!$D$55:$I$55</definedName>
    <definedName name="OSRRefD20_8x" localSheetId="52">'307'!$D$64:$I$64</definedName>
    <definedName name="OSRRefD20_8x" localSheetId="53">'308'!$D$67:$I$67</definedName>
    <definedName name="OSRRefD20_8x" localSheetId="63">'310'!$D$59:$I$59</definedName>
    <definedName name="OSRRefD20_8x" localSheetId="71">'310 &amp; 491'!$D$61:$I$61</definedName>
    <definedName name="OSRRefD20_8x" localSheetId="54">'311'!$D$67:$I$67</definedName>
    <definedName name="OSRRefD20_8x" localSheetId="57">'315'!$D$75:$I$75</definedName>
    <definedName name="OSRRefD20_8x" localSheetId="60">'316'!$D$60:$I$60</definedName>
    <definedName name="OSRRefD20_8x" localSheetId="62">'317'!$D$67:$I$67</definedName>
    <definedName name="OSRRefD20_8x" localSheetId="66">'321'!$D$56:$I$56</definedName>
    <definedName name="OSRRefD20_8x" localSheetId="68">'325'!$D$57:$I$57</definedName>
    <definedName name="OSRRefD20_8x" localSheetId="58">'326'!$D$59:$I$59</definedName>
    <definedName name="OSRRefD20_8x" localSheetId="51">'330'!$D$64:$I$64</definedName>
    <definedName name="OSRRefD20_8x" localSheetId="56">'331'!$D$75:$I$75</definedName>
    <definedName name="OSRRefD20_8x" localSheetId="59">'332'!$D$60:$I$60</definedName>
    <definedName name="OSRRefD20_8x" localSheetId="73">'405'!$D$59:$I$59</definedName>
    <definedName name="OSRRefD20_8x" localSheetId="75">'411'!$D$52:$I$52</definedName>
    <definedName name="OSRRefD20_8x" localSheetId="79">'415'!$D$59:$I$59</definedName>
    <definedName name="OSRRefD20_8x" localSheetId="80">'418'!$D$57:$I$57</definedName>
    <definedName name="OSRRefD20_8x" localSheetId="86">'430'!$D$53:$I$53</definedName>
    <definedName name="OSRRefD20_8x" localSheetId="87">'433'!$D$59:$I$59</definedName>
    <definedName name="OSRRefD20_8x" localSheetId="88">'444'!$D$59:$I$59</definedName>
    <definedName name="OSRRefD20_8x" localSheetId="89">'450'!$D$59:$I$59</definedName>
    <definedName name="OSRRefD20_8x" localSheetId="72">'491'!$D$60:$I$60</definedName>
    <definedName name="OSRRefD20_8x" localSheetId="85">'492'!$D$59:$I$59</definedName>
    <definedName name="OSRRefD20_8x" localSheetId="91">'501'!$D$54:$I$54</definedName>
    <definedName name="OSRRefD20_8x" localSheetId="39">'Div 2'!$D$54:$I$54</definedName>
    <definedName name="OSRRefD20_8x" localSheetId="47">'Div 3'!$D$92:$I$92</definedName>
    <definedName name="OSRRefD20_8x" localSheetId="70">'Div 4'!$D$62:$I$62</definedName>
    <definedName name="OSRRefD20_8x" localSheetId="90">'Div 5'!$D$54:$I$54</definedName>
    <definedName name="OSRRefD20_8x" localSheetId="61">'Div 6'!$D$67:$I$67</definedName>
    <definedName name="OSRRefD20_8x" localSheetId="2">Summary!$D$100:$I$100</definedName>
    <definedName name="OSRRefD20_9x" localSheetId="41">'201'!$D$53:$I$53</definedName>
    <definedName name="OSRRefD20_9x" localSheetId="42">'202'!$D$55:$I$55</definedName>
    <definedName name="OSRRefD20_9x" localSheetId="43">'203'!$D$56:$I$56</definedName>
    <definedName name="OSRRefD20_9x" localSheetId="44">'204'!$D$58:$I$58</definedName>
    <definedName name="OSRRefD20_9x" localSheetId="48">'300'!$D$90:$I$90</definedName>
    <definedName name="OSRRefD20_9x" localSheetId="49">'300 &amp; 317'!$D$96:$I$96</definedName>
    <definedName name="OSRRefD20_9x" localSheetId="50">'301'!$D$57:$I$57</definedName>
    <definedName name="OSRRefD20_9x" localSheetId="52">'307'!$D$66:$I$66</definedName>
    <definedName name="OSRRefD20_9x" localSheetId="53">'308'!$D$71:$I$71</definedName>
    <definedName name="OSRRefD20_9x" localSheetId="63">'310'!$D$61:$I$61</definedName>
    <definedName name="OSRRefD20_9x" localSheetId="71">'310 &amp; 491'!$D$64:$I$64</definedName>
    <definedName name="OSRRefD20_9x" localSheetId="54">'311'!$D$71:$I$71</definedName>
    <definedName name="OSRRefD20_9x" localSheetId="57">'315'!$D$78:$I$78</definedName>
    <definedName name="OSRRefD20_9x" localSheetId="60">'316'!$D$62:$I$62</definedName>
    <definedName name="OSRRefD20_9x" localSheetId="62">'317'!$D$70:$I$70</definedName>
    <definedName name="OSRRefD20_9x" localSheetId="66">'321'!$D$59:$I$59</definedName>
    <definedName name="OSRRefD20_9x" localSheetId="68">'325'!$D$59:$I$59</definedName>
    <definedName name="OSRRefD20_9x" localSheetId="58">'326'!$D$61:$I$61</definedName>
    <definedName name="OSRRefD20_9x" localSheetId="51">'330'!$D$66:$I$66</definedName>
    <definedName name="OSRRefD20_9x" localSheetId="56">'331'!$D$78:$I$78</definedName>
    <definedName name="OSRRefD20_9x" localSheetId="59">'332'!$D$62:$I$62</definedName>
    <definedName name="OSRRefD20_9x" localSheetId="73">'405'!$D$61:$I$61</definedName>
    <definedName name="OSRRefD20_9x" localSheetId="75">'411'!$D$57:$I$57</definedName>
    <definedName name="OSRRefD20_9x" localSheetId="79">'415'!$D$61:$I$61</definedName>
    <definedName name="OSRRefD20_9x" localSheetId="80">'418'!$D$60:$I$60</definedName>
    <definedName name="OSRRefD20_9x" localSheetId="87">'433'!$D$61:$I$61</definedName>
    <definedName name="OSRRefD20_9x" localSheetId="88">'444'!$D$61:$I$61</definedName>
    <definedName name="OSRRefD20_9x" localSheetId="89">'450'!$D$61:$I$61</definedName>
    <definedName name="OSRRefD20_9x" localSheetId="72">'491'!$D$63:$I$63</definedName>
    <definedName name="OSRRefD20_9x" localSheetId="85">'492'!$D$61:$I$61</definedName>
    <definedName name="OSRRefD20_9x" localSheetId="91">'501'!$D$56:$I$56</definedName>
    <definedName name="OSRRefD20_9x" localSheetId="39">'Div 2'!$D$56:$I$56</definedName>
    <definedName name="OSRRefD20_9x" localSheetId="47">'Div 3'!$D$94:$I$94</definedName>
    <definedName name="OSRRefD20_9x" localSheetId="70">'Div 4'!$D$64:$I$64</definedName>
    <definedName name="OSRRefD20_9x" localSheetId="90">'Div 5'!$D$56:$I$56</definedName>
    <definedName name="OSRRefD20_9x" localSheetId="61">'Div 6'!$D$70:$I$70</definedName>
    <definedName name="OSRRefD20_9x" localSheetId="2">Summary!$D$102:$I$102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</definedName>
    <definedName name="OSRRefD20x_0" localSheetId="42">'202'!$D$18,'202'!$D$28,'202'!$D$39,'202'!$D$41,'202'!$D$43,'202'!$D$45,'202'!$D$47,'202'!$D$49,'202'!$D$53,'202'!$D$55,'202'!$D$57,'202'!$D$59,'202'!$D$61</definedName>
    <definedName name="OSRRefD20x_0" localSheetId="43">'203'!$D$18,'203'!$D$29,'203'!$D$40,'203'!$D$42,'203'!$D$44,'203'!$D$46,'203'!$D$48,'203'!$D$50,'203'!$D$52,'203'!$D$56,'203'!$D$59,'203'!$D$61,'203'!$D$66,'203'!$D$68</definedName>
    <definedName name="OSRRefD20x_0" localSheetId="44">'204'!$D$18,'204'!$D$28,'204'!$D$39,'204'!$D$42,'204'!$D$44,'204'!$D$49,'204'!$D$51,'204'!$D$53,'204'!$D$56,'204'!$D$58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$86,'300'!$D$88,'300'!$D$90,'300'!$D$92,'300'!$D$95,'300'!$D$97,'300'!$D$99,'300'!$D$101,'300'!$D$103,'300'!$D$105,'300'!$D$110,'300'!$D$115,'300'!$D$119,'300'!$D$122,'300'!$D$130,'300'!$D$133,'300'!$D$135,'300'!$D$139</definedName>
    <definedName name="OSRRefD20x_0" localSheetId="49">'300 &amp; 317'!$D$58,'300 &amp; 317'!$D$69,'300 &amp; 317'!$D$80,'300 &amp; 317'!$D$82,'300 &amp; 317'!$D$84,'300 &amp; 317'!$D$86,'300 &amp; 317'!$D$89,'300 &amp; 317'!$D$92,'300 &amp; 317'!$D$94,'300 &amp; 317'!$D$96,'300 &amp; 317'!$D$98,'300 &amp; 317'!$D$101,'300 &amp; 317'!$D$103,'300 &amp; 317'!$D$105,'300 &amp; 317'!$D$107,'300 &amp; 317'!$D$109,'300 &amp; 317'!$D$111,'300 &amp; 317'!$D$116,'300 &amp; 317'!$D$121,'300 &amp; 317'!$D$125,'300 &amp; 317'!$D$128,'300 &amp; 317'!$D$136,'300 &amp; 317'!$D$139,'300 &amp; 317'!$D$141,'300 &amp; 317'!$D$145</definedName>
    <definedName name="OSRRefD20x_0" localSheetId="50">'301'!$D$19,'301'!$D$30,'301'!$D$41,'301'!$D$43,'301'!$D$45,'301'!$D$47,'301'!$D$50,'301'!$D$53,'301'!$D$55,'301'!$D$57,'301'!$D$59,'301'!$D$61,'301'!$D$63,'301'!$D$65,'301'!$D$67,'301'!$D$69,'301'!$D$74,'301'!$D$77,'301'!$D$79,'301'!$D$86,'301'!$D$88,'301'!$D$90,'301'!$D$93</definedName>
    <definedName name="OSRRefD20x_0" localSheetId="52">'307'!$D$32,'307'!$D$41,'307'!$D$52,'307'!$D$54,'307'!$D$56,'307'!$D$58,'307'!$D$60,'307'!$D$62,'307'!$D$64,'307'!$D$66,'307'!$D$69,'307'!$D$72,'307'!$D$77</definedName>
    <definedName name="OSRRefD20x_0" localSheetId="53">'308'!$D$33,'308'!$D$44,'308'!$D$55,'308'!$D$57,'308'!$D$59,'308'!$D$61,'308'!$D$63,'308'!$D$65,'308'!$D$67,'308'!$D$71,'308'!$D$74,'308'!$D$77,'308'!$D$80</definedName>
    <definedName name="OSRRefD20x_0" localSheetId="64">'309'!$D$18,'309'!$D$20,'309'!$D$22,'309'!$D$24,'309'!$D$26,'309'!$D$29,'309'!$D$31</definedName>
    <definedName name="OSRRefD20x_0" localSheetId="63">'310'!$D$25,'310'!$D$35,'310'!$D$46,'310'!$D$48,'310'!$D$50,'310'!$D$52,'310'!$D$55,'310'!$D$57,'310'!$D$59,'310'!$D$61,'310'!$D$63,'310'!$D$65,'310'!$D$68,'310'!$D$70,'310'!$D$74,'310'!$D$80,'310'!$D$83,'310'!$D$85</definedName>
    <definedName name="OSRRefD20x_0" localSheetId="71">'310 &amp; 491'!$D$27,'310 &amp; 491'!$D$37,'310 &amp; 491'!$D$48,'310 &amp; 491'!$D$50,'310 &amp; 491'!$D$52,'310 &amp; 491'!$D$54,'310 &amp; 491'!$D$57,'310 &amp; 491'!$D$59,'310 &amp; 491'!$D$61,'310 &amp; 491'!$D$64,'310 &amp; 491'!$D$66,'310 &amp; 491'!$D$68,'310 &amp; 491'!$D$70,'310 &amp; 491'!$D$75,'310 &amp; 491'!$D$78,'310 &amp; 491'!$D$84,'310 &amp; 491'!$D$86,'310 &amp; 491'!$D$97,'310 &amp; 491'!$D$100,'310 &amp; 491'!$D$102,'310 &amp; 491'!$D$104</definedName>
    <definedName name="OSRRefD20x_0" localSheetId="54">'311'!$D$33,'311'!$D$44,'311'!$D$55,'311'!$D$57,'311'!$D$59,'311'!$D$61,'311'!$D$63,'311'!$D$65,'311'!$D$67,'311'!$D$71,'311'!$D$74,'311'!$D$77,'311'!$D$80</definedName>
    <definedName name="OSRRefD20x_0" localSheetId="65">'313'!$D$18,'313'!$D$20,'313'!$D$22</definedName>
    <definedName name="OSRRefD20x_0" localSheetId="57">'315'!$D$42,'315'!$D$52,'315'!$D$63,'315'!$D$65,'315'!$D$67,'315'!$D$69,'315'!$D$71,'315'!$D$73,'315'!$D$75,'315'!$D$78,'315'!$D$80,'315'!$D$82,'315'!$D$84,'315'!$D$87,'315'!$D$91,'315'!$D$94,'315'!$D$99,'315'!$D$101</definedName>
    <definedName name="OSRRefD20x_0" localSheetId="60">'316'!$D$25,'316'!$D$35,'316'!$D$46,'316'!$D$48,'316'!$D$50,'316'!$D$52,'316'!$D$55,'316'!$D$57,'316'!$D$60,'316'!$D$62,'316'!$D$67</definedName>
    <definedName name="OSRRefD20x_0" localSheetId="62">'317'!$D$33,'317'!$D$44,'317'!$D$55,'317'!$D$57,'317'!$D$59,'317'!$D$61,'317'!$D$63,'317'!$D$65,'317'!$D$67,'317'!$D$70</definedName>
    <definedName name="OSRRefD20x_0" localSheetId="66">'321'!$D$22,'321'!$D$32,'321'!$D$43,'321'!$D$45,'321'!$D$47,'321'!$D$49,'321'!$D$51,'321'!$D$54,'321'!$D$56,'321'!$D$59,'321'!$D$64,'321'!$D$66</definedName>
    <definedName name="OSRRefD20x_0" localSheetId="67">'322'!$D$18</definedName>
    <definedName name="OSRRefD20x_0" localSheetId="68">'325'!$D$23,'325'!$D$33,'325'!$D$44,'325'!$D$46,'325'!$D$48,'325'!$D$50,'325'!$D$53,'325'!$D$55,'325'!$D$57,'325'!$D$59,'325'!$D$61,'325'!$D$63,'325'!$D$66,'325'!$D$70,'325'!$D$76,'325'!$D$79</definedName>
    <definedName name="OSRRefD20x_0" localSheetId="58">'326'!$D$26,'326'!$D$36,'326'!$D$47,'326'!$D$49,'326'!$D$51,'326'!$D$53,'326'!$D$55,'326'!$D$57,'326'!$D$59,'326'!$D$61,'326'!$D$63,'326'!$D$65,'326'!$D$68,'326'!$D$71,'326'!$D$74,'326'!$D$78,'326'!$D$80,'326'!$D$83</definedName>
    <definedName name="OSRRefD20x_0" localSheetId="69">'327'!$D$24</definedName>
    <definedName name="OSRRefD20x_0" localSheetId="51">'330'!$D$32,'330'!$D$41,'330'!$D$52,'330'!$D$54,'330'!$D$56,'330'!$D$58,'330'!$D$60,'330'!$D$62,'330'!$D$64,'330'!$D$66,'330'!$D$69,'330'!$D$72,'330'!$D$77</definedName>
    <definedName name="OSRRefD20x_0" localSheetId="56">'331'!$D$42,'331'!$D$52,'331'!$D$63,'331'!$D$65,'331'!$D$67,'331'!$D$69,'331'!$D$71,'331'!$D$73,'331'!$D$75,'331'!$D$78,'331'!$D$80,'331'!$D$82,'331'!$D$84,'331'!$D$86,'331'!$D$88,'331'!$D$91,'331'!$D$95,'331'!$D$98,'331'!$D$101,'331'!$D$107,'331'!$D$109,'331'!$D$112</definedName>
    <definedName name="OSRRefD20x_0" localSheetId="59">'332'!$D$25,'332'!$D$35,'332'!$D$46,'332'!$D$48,'332'!$D$50,'332'!$D$52,'332'!$D$55,'332'!$D$57,'332'!$D$60,'332'!$D$62,'332'!$D$67</definedName>
    <definedName name="OSRRefD20x_0" localSheetId="73">'405'!$D$25,'405'!$D$35,'405'!$D$46,'405'!$D$48,'405'!$D$50,'405'!$D$52,'405'!$D$55,'405'!$D$57,'405'!$D$59,'405'!$D$61,'405'!$D$64,'405'!$D$68,'405'!$D$70,'405'!$D$79,'405'!$D$81,'405'!$D$83,'405'!$D$85</definedName>
    <definedName name="OSRRefD20x_0" localSheetId="74">'406'!$D$18</definedName>
    <definedName name="OSRRefD20x_0" localSheetId="75">'411'!$D$18,'411'!$D$28,'411'!$D$39,'411'!$D$41,'411'!$D$44,'411'!$D$46,'411'!$D$48,'411'!$D$50,'411'!$D$52,'411'!$D$57,'411'!$D$60,'411'!$D$62,'411'!$D$64,'411'!$D$66,'411'!$D$68</definedName>
    <definedName name="OSRRefD20x_0" localSheetId="76">'412'!$D$18,'412'!$D$20,'412'!$D$22</definedName>
    <definedName name="OSRRefD20x_0" localSheetId="77">'413'!$D$18,'413'!$D$20</definedName>
    <definedName name="OSRRefD20x_0" localSheetId="78">'414'!$D$18,'414'!$D$20</definedName>
    <definedName name="OSRRefD20x_0" localSheetId="79">'415'!$D$25,'415'!$D$35,'415'!$D$46,'415'!$D$48,'415'!$D$50,'415'!$D$52,'415'!$D$55,'415'!$D$57,'415'!$D$59,'415'!$D$61,'415'!$D$63,'415'!$D$65,'415'!$D$68,'415'!$D$73,'415'!$D$75,'415'!$D$81,'415'!$D$84,'415'!$D$86</definedName>
    <definedName name="OSRRefD20x_0" localSheetId="80">'418'!$D$22,'418'!$D$32,'418'!$D$43,'418'!$D$45,'418'!$D$47,'418'!$D$50,'418'!$D$52,'418'!$D$54,'418'!$D$57,'418'!$D$60,'418'!$D$64,'418'!$D$66,'418'!$D$74,'418'!$D$77,'418'!$D$79,'418'!$D$81</definedName>
    <definedName name="OSRRefD20x_0" localSheetId="81">'423'!$D$18,'423'!$D$27,'423'!$D$38,'423'!$D$40,'423'!$D$42</definedName>
    <definedName name="OSRRefD20x_0" localSheetId="82">'424'!$D$18,'424'!$D$20</definedName>
    <definedName name="OSRRefD20x_0" localSheetId="84">'425'!$D$20,'425'!$D$22,'425'!$D$24,'425'!$D$26,'425'!$D$28</definedName>
    <definedName name="OSRRefD20x_0" localSheetId="86">'430'!$D$18,'430'!$D$28,'430'!$D$39,'430'!$D$41,'430'!$D$43,'430'!$D$45,'430'!$D$48,'430'!$D$51,'430'!$D$53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'444'!$D$25,'444'!$D$36,'444'!$D$47,'444'!$D$49,'444'!$D$51,'444'!$D$53,'444'!$D$55,'444'!$D$57,'444'!$D$59,'444'!$D$61,'444'!$D$63,'444'!$D$65,'444'!$D$68,'444'!$D$73,'444'!$D$82,'444'!$D$84</definedName>
    <definedName name="OSRRefD20x_0" localSheetId="89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'491'!$D$26,'491'!$D$36,'491'!$D$47,'491'!$D$49,'491'!$D$51,'491'!$D$53,'491'!$D$56,'491'!$D$58,'491'!$D$60,'491'!$D$63,'491'!$D$65,'491'!$D$67,'491'!$D$69,'491'!$D$74,'491'!$D$76,'491'!$D$82,'491'!$D$84,'491'!$D$94,'491'!$D$97,'491'!$D$99,'491'!$D$101</definedName>
    <definedName name="OSRRefD20x_0" localSheetId="85">'492'!$D$25,'492'!$D$36,'492'!$D$47,'492'!$D$49,'492'!$D$51,'492'!$D$53,'492'!$D$55,'492'!$D$57,'492'!$D$59,'492'!$D$61,'492'!$D$63,'492'!$D$65,'492'!$D$67,'492'!$D$71,'492'!$D$76,'492'!$D$85,'492'!$D$88,'492'!$D$90</definedName>
    <definedName name="OSRRefD20x_0" localSheetId="91">'501'!$D$19,'501'!$D$30,'501'!$D$41,'501'!$D$43,'501'!$D$45,'501'!$D$47,'501'!$D$50,'501'!$D$52,'501'!$D$54,'501'!$D$56,'501'!$D$59,'501'!$D$61,'501'!$D$65,'501'!$D$67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2'!$D$77,'Div 2'!$D$83,'Div 2'!$D$86,'Div 2'!$D$88</definedName>
    <definedName name="OSRRefD20x_0" localSheetId="47">'Div 3'!$D$56,'Div 3'!$D$67,'Div 3'!$D$78,'Div 3'!$D$80,'Div 3'!$D$82,'Div 3'!$D$84,'Div 3'!$D$87,'Div 3'!$D$90,'Div 3'!$D$92,'Div 3'!$D$94,'Div 3'!$D$96,'Div 3'!$D$99,'Div 3'!$D$101,'Div 3'!$D$103,'Div 3'!$D$105,'Div 3'!$D$107,'Div 3'!$D$109,'Div 3'!$D$111,'Div 3'!$D$116,'Div 3'!$D$121,'Div 3'!$D$126,'Div 3'!$D$129,'Div 3'!$D$137,'Div 3'!$D$140,'Div 3'!$D$142,'Div 3'!$D$146</definedName>
    <definedName name="OSRRefD20x_0" localSheetId="70">'Div 4'!$D$27,'Div 4'!$D$38,'Div 4'!$D$49,'Div 4'!$D$51,'Div 4'!$D$53,'Div 4'!$D$55,'Div 4'!$D$58,'Div 4'!$D$60,'Div 4'!$D$62,'Div 4'!$D$64,'Div 4'!$D$67,'Div 4'!$D$69,'Div 4'!$D$71,'Div 4'!$D$73,'Div 4'!$D$75,'Div 4'!$D$80,'Div 4'!$D$82,'Div 4'!$D$88,'Div 4'!$D$90,'Div 4'!$D$101,'Div 4'!$D$104,'Div 4'!$D$106,'Div 4'!$D$109</definedName>
    <definedName name="OSRRefD20x_0" localSheetId="90">'Div 5'!$D$19,'Div 5'!$D$30,'Div 5'!$D$41,'Div 5'!$D$43,'Div 5'!$D$45,'Div 5'!$D$47,'Div 5'!$D$50,'Div 5'!$D$52,'Div 5'!$D$54,'Div 5'!$D$56,'Div 5'!$D$59,'Div 5'!$D$61,'Div 5'!$D$65,'Div 5'!$D$67</definedName>
    <definedName name="OSRRefD20x_0" localSheetId="61">'Div 6'!$D$33,'Div 6'!$D$44,'Div 6'!$D$55,'Div 6'!$D$57,'Div 6'!$D$59,'Div 6'!$D$61,'Div 6'!$D$63,'Div 6'!$D$65,'Div 6'!$D$67,'Div 6'!$D$70</definedName>
    <definedName name="OSRRefD20x_0" localSheetId="2">Summary!$D$64,Summary!$D$75,Summary!$D$86,Summary!$D$88,Summary!$D$90,Summary!$D$92,Summary!$D$95,Summary!$D$98,Summary!$D$100,Summary!$D$102,Summary!$D$104,Summary!$D$107,Summary!$D$110,Summary!$D$112,Summary!$D$114,Summary!$D$116,Summary!$D$118,Summary!$D$120,Summary!$D$122,Summary!$D$127,Summary!$D$132,Summary!$D$138,Summary!$D$141,Summary!$D$152,Summary!$D$155,Summary!$D$157,Summary!$D$161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</definedName>
    <definedName name="OSRRefD20x_1" localSheetId="42">'202'!$E$18,'202'!$E$28,'202'!$E$39,'202'!$E$41,'202'!$E$43,'202'!$E$45,'202'!$E$47,'202'!$E$49,'202'!$E$53,'202'!$E$55,'202'!$E$57,'202'!$E$59,'202'!$E$61</definedName>
    <definedName name="OSRRefD20x_1" localSheetId="43">'203'!$E$18,'203'!$E$29,'203'!$E$40,'203'!$E$42,'203'!$E$44,'203'!$E$46,'203'!$E$48,'203'!$E$50,'203'!$E$52,'203'!$E$56,'203'!$E$59,'203'!$E$61,'203'!$E$66,'203'!$E$68</definedName>
    <definedName name="OSRRefD20x_1" localSheetId="44">'204'!$E$18,'204'!$E$28,'204'!$E$39,'204'!$E$42,'204'!$E$44,'204'!$E$49,'204'!$E$51,'204'!$E$53,'204'!$E$56,'204'!$E$58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$86,'300'!$E$88,'300'!$E$90,'300'!$E$92,'300'!$E$95,'300'!$E$97,'300'!$E$99,'300'!$E$101,'300'!$E$103,'300'!$E$105,'300'!$E$110,'300'!$E$115,'300'!$E$119,'300'!$E$122,'300'!$E$130,'300'!$E$133,'300'!$E$135,'300'!$E$139</definedName>
    <definedName name="OSRRefD20x_1" localSheetId="49">'300 &amp; 317'!$E$58,'300 &amp; 317'!$E$69,'300 &amp; 317'!$E$80,'300 &amp; 317'!$E$82,'300 &amp; 317'!$E$84,'300 &amp; 317'!$E$86,'300 &amp; 317'!$E$89,'300 &amp; 317'!$E$92,'300 &amp; 317'!$E$94,'300 &amp; 317'!$E$96,'300 &amp; 317'!$E$98,'300 &amp; 317'!$E$101,'300 &amp; 317'!$E$103,'300 &amp; 317'!$E$105,'300 &amp; 317'!$E$107,'300 &amp; 317'!$E$109,'300 &amp; 317'!$E$111,'300 &amp; 317'!$E$116,'300 &amp; 317'!$E$121,'300 &amp; 317'!$E$125,'300 &amp; 317'!$E$128,'300 &amp; 317'!$E$136,'300 &amp; 317'!$E$139,'300 &amp; 317'!$E$141,'300 &amp; 317'!$E$145</definedName>
    <definedName name="OSRRefD20x_1" localSheetId="50">'301'!$E$19,'301'!$E$30,'301'!$E$41,'301'!$E$43,'301'!$E$45,'301'!$E$47,'301'!$E$50,'301'!$E$53,'301'!$E$55,'301'!$E$57,'301'!$E$59,'301'!$E$61,'301'!$E$63,'301'!$E$65,'301'!$E$67,'301'!$E$69,'301'!$E$74,'301'!$E$77,'301'!$E$79,'301'!$E$86,'301'!$E$88,'301'!$E$90,'301'!$E$93</definedName>
    <definedName name="OSRRefD20x_1" localSheetId="52">'307'!$E$32,'307'!$E$41,'307'!$E$52,'307'!$E$54,'307'!$E$56,'307'!$E$58,'307'!$E$60,'307'!$E$62,'307'!$E$64,'307'!$E$66,'307'!$E$69,'307'!$E$72,'307'!$E$77</definedName>
    <definedName name="OSRRefD20x_1" localSheetId="53">'308'!$E$33,'308'!$E$44,'308'!$E$55,'308'!$E$57,'308'!$E$59,'308'!$E$61,'308'!$E$63,'308'!$E$65,'308'!$E$67,'308'!$E$71,'308'!$E$74,'308'!$E$77,'308'!$E$80</definedName>
    <definedName name="OSRRefD20x_1" localSheetId="64">'309'!$E$18,'309'!$E$20,'309'!$E$22,'309'!$E$24,'309'!$E$26,'309'!$E$29,'309'!$E$31</definedName>
    <definedName name="OSRRefD20x_1" localSheetId="63">'310'!$E$25,'310'!$E$35,'310'!$E$46,'310'!$E$48,'310'!$E$50,'310'!$E$52,'310'!$E$55,'310'!$E$57,'310'!$E$59,'310'!$E$61,'310'!$E$63,'310'!$E$65,'310'!$E$68,'310'!$E$70,'310'!$E$74,'310'!$E$80,'310'!$E$83,'310'!$E$85</definedName>
    <definedName name="OSRRefD20x_1" localSheetId="71">'310 &amp; 491'!$E$27,'310 &amp; 491'!$E$37,'310 &amp; 491'!$E$48,'310 &amp; 491'!$E$50,'310 &amp; 491'!$E$52,'310 &amp; 491'!$E$54,'310 &amp; 491'!$E$57,'310 &amp; 491'!$E$59,'310 &amp; 491'!$E$61,'310 &amp; 491'!$E$64,'310 &amp; 491'!$E$66,'310 &amp; 491'!$E$68,'310 &amp; 491'!$E$70,'310 &amp; 491'!$E$75,'310 &amp; 491'!$E$78,'310 &amp; 491'!$E$84,'310 &amp; 491'!$E$86,'310 &amp; 491'!$E$97,'310 &amp; 491'!$E$100,'310 &amp; 491'!$E$102,'310 &amp; 491'!$E$104</definedName>
    <definedName name="OSRRefD20x_1" localSheetId="54">'311'!$E$33,'311'!$E$44,'311'!$E$55,'311'!$E$57,'311'!$E$59,'311'!$E$61,'311'!$E$63,'311'!$E$65,'311'!$E$67,'311'!$E$71,'311'!$E$74,'311'!$E$77,'311'!$E$80</definedName>
    <definedName name="OSRRefD20x_1" localSheetId="65">'313'!$E$18,'313'!$E$20,'313'!$E$22</definedName>
    <definedName name="OSRRefD20x_1" localSheetId="57">'315'!$E$42,'315'!$E$52,'315'!$E$63,'315'!$E$65,'315'!$E$67,'315'!$E$69,'315'!$E$71,'315'!$E$73,'315'!$E$75,'315'!$E$78,'315'!$E$80,'315'!$E$82,'315'!$E$84,'315'!$E$87,'315'!$E$91,'315'!$E$94,'315'!$E$99,'315'!$E$101</definedName>
    <definedName name="OSRRefD20x_1" localSheetId="60">'316'!$E$25,'316'!$E$35,'316'!$E$46,'316'!$E$48,'316'!$E$50,'316'!$E$52,'316'!$E$55,'316'!$E$57,'316'!$E$60,'316'!$E$62,'316'!$E$67</definedName>
    <definedName name="OSRRefD20x_1" localSheetId="62">'317'!$E$33,'317'!$E$44,'317'!$E$55,'317'!$E$57,'317'!$E$59,'317'!$E$61,'317'!$E$63,'317'!$E$65,'317'!$E$67,'317'!$E$70</definedName>
    <definedName name="OSRRefD20x_1" localSheetId="66">'321'!$E$22,'321'!$E$32,'321'!$E$43,'321'!$E$45,'321'!$E$47,'321'!$E$49,'321'!$E$51,'321'!$E$54,'321'!$E$56,'321'!$E$59,'321'!$E$64,'321'!$E$66</definedName>
    <definedName name="OSRRefD20x_1" localSheetId="67">'322'!$E$18</definedName>
    <definedName name="OSRRefD20x_1" localSheetId="68">'325'!$E$23,'325'!$E$33,'325'!$E$44,'325'!$E$46,'325'!$E$48,'325'!$E$50,'325'!$E$53,'325'!$E$55,'325'!$E$57,'325'!$E$59,'325'!$E$61,'325'!$E$63,'325'!$E$66,'325'!$E$70,'325'!$E$76,'325'!$E$79</definedName>
    <definedName name="OSRRefD20x_1" localSheetId="58">'326'!$E$26,'326'!$E$36,'326'!$E$47,'326'!$E$49,'326'!$E$51,'326'!$E$53,'326'!$E$55,'326'!$E$57,'326'!$E$59,'326'!$E$61,'326'!$E$63,'326'!$E$65,'326'!$E$68,'326'!$E$71,'326'!$E$74,'326'!$E$78,'326'!$E$80,'326'!$E$83</definedName>
    <definedName name="OSRRefD20x_1" localSheetId="69">'327'!$E$24</definedName>
    <definedName name="OSRRefD20x_1" localSheetId="51">'330'!$E$32,'330'!$E$41,'330'!$E$52,'330'!$E$54,'330'!$E$56,'330'!$E$58,'330'!$E$60,'330'!$E$62,'330'!$E$64,'330'!$E$66,'330'!$E$69,'330'!$E$72,'330'!$E$77</definedName>
    <definedName name="OSRRefD20x_1" localSheetId="56">'331'!$E$42,'331'!$E$52,'331'!$E$63,'331'!$E$65,'331'!$E$67,'331'!$E$69,'331'!$E$71,'331'!$E$73,'331'!$E$75,'331'!$E$78,'331'!$E$80,'331'!$E$82,'331'!$E$84,'331'!$E$86,'331'!$E$88,'331'!$E$91,'331'!$E$95,'331'!$E$98,'331'!$E$101,'331'!$E$107,'331'!$E$109,'331'!$E$112</definedName>
    <definedName name="OSRRefD20x_1" localSheetId="59">'332'!$E$25,'332'!$E$35,'332'!$E$46,'332'!$E$48,'332'!$E$50,'332'!$E$52,'332'!$E$55,'332'!$E$57,'332'!$E$60,'332'!$E$62,'332'!$E$67</definedName>
    <definedName name="OSRRefD20x_1" localSheetId="73">'405'!$E$25,'405'!$E$35,'405'!$E$46,'405'!$E$48,'405'!$E$50,'405'!$E$52,'405'!$E$55,'405'!$E$57,'405'!$E$59,'405'!$E$61,'405'!$E$64,'405'!$E$68,'405'!$E$70,'405'!$E$79,'405'!$E$81,'405'!$E$83,'405'!$E$85</definedName>
    <definedName name="OSRRefD20x_1" localSheetId="74">'406'!$E$18</definedName>
    <definedName name="OSRRefD20x_1" localSheetId="75">'411'!$E$18,'411'!$E$28,'411'!$E$39,'411'!$E$41,'411'!$E$44,'411'!$E$46,'411'!$E$48,'411'!$E$50,'411'!$E$52,'411'!$E$57,'411'!$E$60,'411'!$E$62,'411'!$E$64,'411'!$E$66,'411'!$E$68</definedName>
    <definedName name="OSRRefD20x_1" localSheetId="76">'412'!$E$18,'412'!$E$20,'412'!$E$22</definedName>
    <definedName name="OSRRefD20x_1" localSheetId="77">'413'!$E$18,'413'!$E$20</definedName>
    <definedName name="OSRRefD20x_1" localSheetId="78">'414'!$E$18,'414'!$E$20</definedName>
    <definedName name="OSRRefD20x_1" localSheetId="79">'415'!$E$25,'415'!$E$35,'415'!$E$46,'415'!$E$48,'415'!$E$50,'415'!$E$52,'415'!$E$55,'415'!$E$57,'415'!$E$59,'415'!$E$61,'415'!$E$63,'415'!$E$65,'415'!$E$68,'415'!$E$73,'415'!$E$75,'415'!$E$81,'415'!$E$84,'415'!$E$86</definedName>
    <definedName name="OSRRefD20x_1" localSheetId="80">'418'!$E$22,'418'!$E$32,'418'!$E$43,'418'!$E$45,'418'!$E$47,'418'!$E$50,'418'!$E$52,'418'!$E$54,'418'!$E$57,'418'!$E$60,'418'!$E$64,'418'!$E$66,'418'!$E$74,'418'!$E$77,'418'!$E$79,'418'!$E$81</definedName>
    <definedName name="OSRRefD20x_1" localSheetId="81">'423'!$E$18,'423'!$E$27,'423'!$E$38,'423'!$E$40,'423'!$E$42</definedName>
    <definedName name="OSRRefD20x_1" localSheetId="82">'424'!$E$18,'424'!$E$20</definedName>
    <definedName name="OSRRefD20x_1" localSheetId="84">'425'!$E$20,'425'!$E$22,'425'!$E$24,'425'!$E$26,'425'!$E$28</definedName>
    <definedName name="OSRRefD20x_1" localSheetId="86">'430'!$E$18,'430'!$E$28,'430'!$E$39,'430'!$E$41,'430'!$E$43,'430'!$E$45,'430'!$E$48,'430'!$E$51,'430'!$E$53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'444'!$E$25,'444'!$E$36,'444'!$E$47,'444'!$E$49,'444'!$E$51,'444'!$E$53,'444'!$E$55,'444'!$E$57,'444'!$E$59,'444'!$E$61,'444'!$E$63,'444'!$E$65,'444'!$E$68,'444'!$E$73,'444'!$E$82,'444'!$E$84</definedName>
    <definedName name="OSRRefD20x_1" localSheetId="89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'491'!$E$26,'491'!$E$36,'491'!$E$47,'491'!$E$49,'491'!$E$51,'491'!$E$53,'491'!$E$56,'491'!$E$58,'491'!$E$60,'491'!$E$63,'491'!$E$65,'491'!$E$67,'491'!$E$69,'491'!$E$74,'491'!$E$76,'491'!$E$82,'491'!$E$84,'491'!$E$94,'491'!$E$97,'491'!$E$99,'491'!$E$101</definedName>
    <definedName name="OSRRefD20x_1" localSheetId="85">'492'!$E$25,'492'!$E$36,'492'!$E$47,'492'!$E$49,'492'!$E$51,'492'!$E$53,'492'!$E$55,'492'!$E$57,'492'!$E$59,'492'!$E$61,'492'!$E$63,'492'!$E$65,'492'!$E$67,'492'!$E$71,'492'!$E$76,'492'!$E$85,'492'!$E$88,'492'!$E$90</definedName>
    <definedName name="OSRRefD20x_1" localSheetId="91">'501'!$E$19,'501'!$E$30,'501'!$E$41,'501'!$E$43,'501'!$E$45,'501'!$E$47,'501'!$E$50,'501'!$E$52,'501'!$E$54,'501'!$E$56,'501'!$E$59,'501'!$E$61,'501'!$E$65,'501'!$E$67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2'!$E$77,'Div 2'!$E$83,'Div 2'!$E$86,'Div 2'!$E$88</definedName>
    <definedName name="OSRRefD20x_1" localSheetId="47">'Div 3'!$E$56,'Div 3'!$E$67,'Div 3'!$E$78,'Div 3'!$E$80,'Div 3'!$E$82,'Div 3'!$E$84,'Div 3'!$E$87,'Div 3'!$E$90,'Div 3'!$E$92,'Div 3'!$E$94,'Div 3'!$E$96,'Div 3'!$E$99,'Div 3'!$E$101,'Div 3'!$E$103,'Div 3'!$E$105,'Div 3'!$E$107,'Div 3'!$E$109,'Div 3'!$E$111,'Div 3'!$E$116,'Div 3'!$E$121,'Div 3'!$E$126,'Div 3'!$E$129,'Div 3'!$E$137,'Div 3'!$E$140,'Div 3'!$E$142,'Div 3'!$E$146</definedName>
    <definedName name="OSRRefD20x_1" localSheetId="70">'Div 4'!$E$27,'Div 4'!$E$38,'Div 4'!$E$49,'Div 4'!$E$51,'Div 4'!$E$53,'Div 4'!$E$55,'Div 4'!$E$58,'Div 4'!$E$60,'Div 4'!$E$62,'Div 4'!$E$64,'Div 4'!$E$67,'Div 4'!$E$69,'Div 4'!$E$71,'Div 4'!$E$73,'Div 4'!$E$75,'Div 4'!$E$80,'Div 4'!$E$82,'Div 4'!$E$88,'Div 4'!$E$90,'Div 4'!$E$101,'Div 4'!$E$104,'Div 4'!$E$106,'Div 4'!$E$109</definedName>
    <definedName name="OSRRefD20x_1" localSheetId="90">'Div 5'!$E$19,'Div 5'!$E$30,'Div 5'!$E$41,'Div 5'!$E$43,'Div 5'!$E$45,'Div 5'!$E$47,'Div 5'!$E$50,'Div 5'!$E$52,'Div 5'!$E$54,'Div 5'!$E$56,'Div 5'!$E$59,'Div 5'!$E$61,'Div 5'!$E$65,'Div 5'!$E$67</definedName>
    <definedName name="OSRRefD20x_1" localSheetId="61">'Div 6'!$E$33,'Div 6'!$E$44,'Div 6'!$E$55,'Div 6'!$E$57,'Div 6'!$E$59,'Div 6'!$E$61,'Div 6'!$E$63,'Div 6'!$E$65,'Div 6'!$E$67,'Div 6'!$E$70</definedName>
    <definedName name="OSRRefD20x_1" localSheetId="2">Summary!$E$64,Summary!$E$75,Summary!$E$86,Summary!$E$88,Summary!$E$90,Summary!$E$92,Summary!$E$95,Summary!$E$98,Summary!$E$100,Summary!$E$102,Summary!$E$104,Summary!$E$107,Summary!$E$110,Summary!$E$112,Summary!$E$114,Summary!$E$116,Summary!$E$118,Summary!$E$120,Summary!$E$122,Summary!$E$127,Summary!$E$132,Summary!$E$138,Summary!$E$141,Summary!$E$152,Summary!$E$155,Summary!$E$157,Summary!$E$161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</definedName>
    <definedName name="OSRRefD20x_2" localSheetId="42">'202'!$F$18,'202'!$F$28,'202'!$F$39,'202'!$F$41,'202'!$F$43,'202'!$F$45,'202'!$F$47,'202'!$F$49,'202'!$F$53,'202'!$F$55,'202'!$F$57,'202'!$F$59,'202'!$F$61</definedName>
    <definedName name="OSRRefD20x_2" localSheetId="43">'203'!$F$18,'203'!$F$29,'203'!$F$40,'203'!$F$42,'203'!$F$44,'203'!$F$46,'203'!$F$48,'203'!$F$50,'203'!$F$52,'203'!$F$56,'203'!$F$59,'203'!$F$61,'203'!$F$66,'203'!$F$68</definedName>
    <definedName name="OSRRefD20x_2" localSheetId="44">'204'!$F$18,'204'!$F$28,'204'!$F$39,'204'!$F$42,'204'!$F$44,'204'!$F$49,'204'!$F$51,'204'!$F$53,'204'!$F$56,'204'!$F$58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$86,'300'!$F$88,'300'!$F$90,'300'!$F$92,'300'!$F$95,'300'!$F$97,'300'!$F$99,'300'!$F$101,'300'!$F$103,'300'!$F$105,'300'!$F$110,'300'!$F$115,'300'!$F$119,'300'!$F$122,'300'!$F$130,'300'!$F$133,'300'!$F$135,'300'!$F$139</definedName>
    <definedName name="OSRRefD20x_2" localSheetId="49">'300 &amp; 317'!$F$58,'300 &amp; 317'!$F$69,'300 &amp; 317'!$F$80,'300 &amp; 317'!$F$82,'300 &amp; 317'!$F$84,'300 &amp; 317'!$F$86,'300 &amp; 317'!$F$89,'300 &amp; 317'!$F$92,'300 &amp; 317'!$F$94,'300 &amp; 317'!$F$96,'300 &amp; 317'!$F$98,'300 &amp; 317'!$F$101,'300 &amp; 317'!$F$103,'300 &amp; 317'!$F$105,'300 &amp; 317'!$F$107,'300 &amp; 317'!$F$109,'300 &amp; 317'!$F$111,'300 &amp; 317'!$F$116,'300 &amp; 317'!$F$121,'300 &amp; 317'!$F$125,'300 &amp; 317'!$F$128,'300 &amp; 317'!$F$136,'300 &amp; 317'!$F$139,'300 &amp; 317'!$F$141,'300 &amp; 317'!$F$145</definedName>
    <definedName name="OSRRefD20x_2" localSheetId="50">'301'!$F$19,'301'!$F$30,'301'!$F$41,'301'!$F$43,'301'!$F$45,'301'!$F$47,'301'!$F$50,'301'!$F$53,'301'!$F$55,'301'!$F$57,'301'!$F$59,'301'!$F$61,'301'!$F$63,'301'!$F$65,'301'!$F$67,'301'!$F$69,'301'!$F$74,'301'!$F$77,'301'!$F$79,'301'!$F$86,'301'!$F$88,'301'!$F$90,'301'!$F$93</definedName>
    <definedName name="OSRRefD20x_2" localSheetId="52">'307'!$F$32,'307'!$F$41,'307'!$F$52,'307'!$F$54,'307'!$F$56,'307'!$F$58,'307'!$F$60,'307'!$F$62,'307'!$F$64,'307'!$F$66,'307'!$F$69,'307'!$F$72,'307'!$F$77</definedName>
    <definedName name="OSRRefD20x_2" localSheetId="53">'308'!$F$33,'308'!$F$44,'308'!$F$55,'308'!$F$57,'308'!$F$59,'308'!$F$61,'308'!$F$63,'308'!$F$65,'308'!$F$67,'308'!$F$71,'308'!$F$74,'308'!$F$77,'308'!$F$80</definedName>
    <definedName name="OSRRefD20x_2" localSheetId="64">'309'!$F$18,'309'!$F$20,'309'!$F$22,'309'!$F$24,'309'!$F$26,'309'!$F$29,'309'!$F$31</definedName>
    <definedName name="OSRRefD20x_2" localSheetId="63">'310'!$F$25,'310'!$F$35,'310'!$F$46,'310'!$F$48,'310'!$F$50,'310'!$F$52,'310'!$F$55,'310'!$F$57,'310'!$F$59,'310'!$F$61,'310'!$F$63,'310'!$F$65,'310'!$F$68,'310'!$F$70,'310'!$F$74,'310'!$F$80,'310'!$F$83,'310'!$F$85</definedName>
    <definedName name="OSRRefD20x_2" localSheetId="71">'310 &amp; 491'!$F$27,'310 &amp; 491'!$F$37,'310 &amp; 491'!$F$48,'310 &amp; 491'!$F$50,'310 &amp; 491'!$F$52,'310 &amp; 491'!$F$54,'310 &amp; 491'!$F$57,'310 &amp; 491'!$F$59,'310 &amp; 491'!$F$61,'310 &amp; 491'!$F$64,'310 &amp; 491'!$F$66,'310 &amp; 491'!$F$68,'310 &amp; 491'!$F$70,'310 &amp; 491'!$F$75,'310 &amp; 491'!$F$78,'310 &amp; 491'!$F$84,'310 &amp; 491'!$F$86,'310 &amp; 491'!$F$97,'310 &amp; 491'!$F$100,'310 &amp; 491'!$F$102,'310 &amp; 491'!$F$104</definedName>
    <definedName name="OSRRefD20x_2" localSheetId="54">'311'!$F$33,'311'!$F$44,'311'!$F$55,'311'!$F$57,'311'!$F$59,'311'!$F$61,'311'!$F$63,'311'!$F$65,'311'!$F$67,'311'!$F$71,'311'!$F$74,'311'!$F$77,'311'!$F$80</definedName>
    <definedName name="OSRRefD20x_2" localSheetId="65">'313'!$F$18,'313'!$F$20,'313'!$F$22</definedName>
    <definedName name="OSRRefD20x_2" localSheetId="57">'315'!$F$42,'315'!$F$52,'315'!$F$63,'315'!$F$65,'315'!$F$67,'315'!$F$69,'315'!$F$71,'315'!$F$73,'315'!$F$75,'315'!$F$78,'315'!$F$80,'315'!$F$82,'315'!$F$84,'315'!$F$87,'315'!$F$91,'315'!$F$94,'315'!$F$99,'315'!$F$101</definedName>
    <definedName name="OSRRefD20x_2" localSheetId="60">'316'!$F$25,'316'!$F$35,'316'!$F$46,'316'!$F$48,'316'!$F$50,'316'!$F$52,'316'!$F$55,'316'!$F$57,'316'!$F$60,'316'!$F$62,'316'!$F$67</definedName>
    <definedName name="OSRRefD20x_2" localSheetId="62">'317'!$F$33,'317'!$F$44,'317'!$F$55,'317'!$F$57,'317'!$F$59,'317'!$F$61,'317'!$F$63,'317'!$F$65,'317'!$F$67,'317'!$F$70</definedName>
    <definedName name="OSRRefD20x_2" localSheetId="66">'321'!$F$22,'321'!$F$32,'321'!$F$43,'321'!$F$45,'321'!$F$47,'321'!$F$49,'321'!$F$51,'321'!$F$54,'321'!$F$56,'321'!$F$59,'321'!$F$64,'321'!$F$66</definedName>
    <definedName name="OSRRefD20x_2" localSheetId="67">'322'!$F$18</definedName>
    <definedName name="OSRRefD20x_2" localSheetId="68">'325'!$F$23,'325'!$F$33,'325'!$F$44,'325'!$F$46,'325'!$F$48,'325'!$F$50,'325'!$F$53,'325'!$F$55,'325'!$F$57,'325'!$F$59,'325'!$F$61,'325'!$F$63,'325'!$F$66,'325'!$F$70,'325'!$F$76,'325'!$F$79</definedName>
    <definedName name="OSRRefD20x_2" localSheetId="58">'326'!$F$26,'326'!$F$36,'326'!$F$47,'326'!$F$49,'326'!$F$51,'326'!$F$53,'326'!$F$55,'326'!$F$57,'326'!$F$59,'326'!$F$61,'326'!$F$63,'326'!$F$65,'326'!$F$68,'326'!$F$71,'326'!$F$74,'326'!$F$78,'326'!$F$80,'326'!$F$83</definedName>
    <definedName name="OSRRefD20x_2" localSheetId="69">'327'!$F$24</definedName>
    <definedName name="OSRRefD20x_2" localSheetId="51">'330'!$F$32,'330'!$F$41,'330'!$F$52,'330'!$F$54,'330'!$F$56,'330'!$F$58,'330'!$F$60,'330'!$F$62,'330'!$F$64,'330'!$F$66,'330'!$F$69,'330'!$F$72,'330'!$F$77</definedName>
    <definedName name="OSRRefD20x_2" localSheetId="56">'331'!$F$42,'331'!$F$52,'331'!$F$63,'331'!$F$65,'331'!$F$67,'331'!$F$69,'331'!$F$71,'331'!$F$73,'331'!$F$75,'331'!$F$78,'331'!$F$80,'331'!$F$82,'331'!$F$84,'331'!$F$86,'331'!$F$88,'331'!$F$91,'331'!$F$95,'331'!$F$98,'331'!$F$101,'331'!$F$107,'331'!$F$109,'331'!$F$112</definedName>
    <definedName name="OSRRefD20x_2" localSheetId="59">'332'!$F$25,'332'!$F$35,'332'!$F$46,'332'!$F$48,'332'!$F$50,'332'!$F$52,'332'!$F$55,'332'!$F$57,'332'!$F$60,'332'!$F$62,'332'!$F$67</definedName>
    <definedName name="OSRRefD20x_2" localSheetId="73">'405'!$F$25,'405'!$F$35,'405'!$F$46,'405'!$F$48,'405'!$F$50,'405'!$F$52,'405'!$F$55,'405'!$F$57,'405'!$F$59,'405'!$F$61,'405'!$F$64,'405'!$F$68,'405'!$F$70,'405'!$F$79,'405'!$F$81,'405'!$F$83,'405'!$F$85</definedName>
    <definedName name="OSRRefD20x_2" localSheetId="74">'406'!$F$18</definedName>
    <definedName name="OSRRefD20x_2" localSheetId="75">'411'!$F$18,'411'!$F$28,'411'!$F$39,'411'!$F$41,'411'!$F$44,'411'!$F$46,'411'!$F$48,'411'!$F$50,'411'!$F$52,'411'!$F$57,'411'!$F$60,'411'!$F$62,'411'!$F$64,'411'!$F$66,'411'!$F$68</definedName>
    <definedName name="OSRRefD20x_2" localSheetId="76">'412'!$F$18,'412'!$F$20,'412'!$F$22</definedName>
    <definedName name="OSRRefD20x_2" localSheetId="77">'413'!$F$18,'413'!$F$20</definedName>
    <definedName name="OSRRefD20x_2" localSheetId="78">'414'!$F$18,'414'!$F$20</definedName>
    <definedName name="OSRRefD20x_2" localSheetId="79">'415'!$F$25,'415'!$F$35,'415'!$F$46,'415'!$F$48,'415'!$F$50,'415'!$F$52,'415'!$F$55,'415'!$F$57,'415'!$F$59,'415'!$F$61,'415'!$F$63,'415'!$F$65,'415'!$F$68,'415'!$F$73,'415'!$F$75,'415'!$F$81,'415'!$F$84,'415'!$F$86</definedName>
    <definedName name="OSRRefD20x_2" localSheetId="80">'418'!$F$22,'418'!$F$32,'418'!$F$43,'418'!$F$45,'418'!$F$47,'418'!$F$50,'418'!$F$52,'418'!$F$54,'418'!$F$57,'418'!$F$60,'418'!$F$64,'418'!$F$66,'418'!$F$74,'418'!$F$77,'418'!$F$79,'418'!$F$81</definedName>
    <definedName name="OSRRefD20x_2" localSheetId="81">'423'!$F$18,'423'!$F$27,'423'!$F$38,'423'!$F$40,'423'!$F$42</definedName>
    <definedName name="OSRRefD20x_2" localSheetId="82">'424'!$F$18,'424'!$F$20</definedName>
    <definedName name="OSRRefD20x_2" localSheetId="84">'425'!$F$20,'425'!$F$22,'425'!$F$24,'425'!$F$26,'425'!$F$28</definedName>
    <definedName name="OSRRefD20x_2" localSheetId="86">'430'!$F$18,'430'!$F$28,'430'!$F$39,'430'!$F$41,'430'!$F$43,'430'!$F$45,'430'!$F$48,'430'!$F$51,'430'!$F$53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'444'!$F$25,'444'!$F$36,'444'!$F$47,'444'!$F$49,'444'!$F$51,'444'!$F$53,'444'!$F$55,'444'!$F$57,'444'!$F$59,'444'!$F$61,'444'!$F$63,'444'!$F$65,'444'!$F$68,'444'!$F$73,'444'!$F$82,'444'!$F$84</definedName>
    <definedName name="OSRRefD20x_2" localSheetId="89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'491'!$F$26,'491'!$F$36,'491'!$F$47,'491'!$F$49,'491'!$F$51,'491'!$F$53,'491'!$F$56,'491'!$F$58,'491'!$F$60,'491'!$F$63,'491'!$F$65,'491'!$F$67,'491'!$F$69,'491'!$F$74,'491'!$F$76,'491'!$F$82,'491'!$F$84,'491'!$F$94,'491'!$F$97,'491'!$F$99,'491'!$F$101</definedName>
    <definedName name="OSRRefD20x_2" localSheetId="85">'492'!$F$25,'492'!$F$36,'492'!$F$47,'492'!$F$49,'492'!$F$51,'492'!$F$53,'492'!$F$55,'492'!$F$57,'492'!$F$59,'492'!$F$61,'492'!$F$63,'492'!$F$65,'492'!$F$67,'492'!$F$71,'492'!$F$76,'492'!$F$85,'492'!$F$88,'492'!$F$90</definedName>
    <definedName name="OSRRefD20x_2" localSheetId="91">'501'!$F$19,'501'!$F$30,'501'!$F$41,'501'!$F$43,'501'!$F$45,'501'!$F$47,'501'!$F$50,'501'!$F$52,'501'!$F$54,'501'!$F$56,'501'!$F$59,'501'!$F$61,'501'!$F$65,'501'!$F$67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2'!$F$77,'Div 2'!$F$83,'Div 2'!$F$86,'Div 2'!$F$88</definedName>
    <definedName name="OSRRefD20x_2" localSheetId="47">'Div 3'!$F$56,'Div 3'!$F$67,'Div 3'!$F$78,'Div 3'!$F$80,'Div 3'!$F$82,'Div 3'!$F$84,'Div 3'!$F$87,'Div 3'!$F$90,'Div 3'!$F$92,'Div 3'!$F$94,'Div 3'!$F$96,'Div 3'!$F$99,'Div 3'!$F$101,'Div 3'!$F$103,'Div 3'!$F$105,'Div 3'!$F$107,'Div 3'!$F$109,'Div 3'!$F$111,'Div 3'!$F$116,'Div 3'!$F$121,'Div 3'!$F$126,'Div 3'!$F$129,'Div 3'!$F$137,'Div 3'!$F$140,'Div 3'!$F$142,'Div 3'!$F$146</definedName>
    <definedName name="OSRRefD20x_2" localSheetId="70">'Div 4'!$F$27,'Div 4'!$F$38,'Div 4'!$F$49,'Div 4'!$F$51,'Div 4'!$F$53,'Div 4'!$F$55,'Div 4'!$F$58,'Div 4'!$F$60,'Div 4'!$F$62,'Div 4'!$F$64,'Div 4'!$F$67,'Div 4'!$F$69,'Div 4'!$F$71,'Div 4'!$F$73,'Div 4'!$F$75,'Div 4'!$F$80,'Div 4'!$F$82,'Div 4'!$F$88,'Div 4'!$F$90,'Div 4'!$F$101,'Div 4'!$F$104,'Div 4'!$F$106,'Div 4'!$F$109</definedName>
    <definedName name="OSRRefD20x_2" localSheetId="90">'Div 5'!$F$19,'Div 5'!$F$30,'Div 5'!$F$41,'Div 5'!$F$43,'Div 5'!$F$45,'Div 5'!$F$47,'Div 5'!$F$50,'Div 5'!$F$52,'Div 5'!$F$54,'Div 5'!$F$56,'Div 5'!$F$59,'Div 5'!$F$61,'Div 5'!$F$65,'Div 5'!$F$67</definedName>
    <definedName name="OSRRefD20x_2" localSheetId="61">'Div 6'!$F$33,'Div 6'!$F$44,'Div 6'!$F$55,'Div 6'!$F$57,'Div 6'!$F$59,'Div 6'!$F$61,'Div 6'!$F$63,'Div 6'!$F$65,'Div 6'!$F$67,'Div 6'!$F$70</definedName>
    <definedName name="OSRRefD20x_2" localSheetId="2">Summary!$F$64,Summary!$F$75,Summary!$F$86,Summary!$F$88,Summary!$F$90,Summary!$F$92,Summary!$F$95,Summary!$F$98,Summary!$F$100,Summary!$F$102,Summary!$F$104,Summary!$F$107,Summary!$F$110,Summary!$F$112,Summary!$F$114,Summary!$F$116,Summary!$F$118,Summary!$F$120,Summary!$F$122,Summary!$F$127,Summary!$F$132,Summary!$F$138,Summary!$F$141,Summary!$F$152,Summary!$F$155,Summary!$F$157,Summary!$F$161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</definedName>
    <definedName name="OSRRefD20x_3" localSheetId="42">'202'!$G$18,'202'!$G$28,'202'!$G$39,'202'!$G$41,'202'!$G$43,'202'!$G$45,'202'!$G$47,'202'!$G$49,'202'!$G$53,'202'!$G$55,'202'!$G$57,'202'!$G$59,'202'!$G$61</definedName>
    <definedName name="OSRRefD20x_3" localSheetId="43">'203'!$G$18,'203'!$G$29,'203'!$G$40,'203'!$G$42,'203'!$G$44,'203'!$G$46,'203'!$G$48,'203'!$G$50,'203'!$G$52,'203'!$G$56,'203'!$G$59,'203'!$G$61,'203'!$G$66,'203'!$G$68</definedName>
    <definedName name="OSRRefD20x_3" localSheetId="44">'204'!$G$18,'204'!$G$28,'204'!$G$39,'204'!$G$42,'204'!$G$44,'204'!$G$49,'204'!$G$51,'204'!$G$53,'204'!$G$56,'204'!$G$58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$86,'300'!$G$88,'300'!$G$90,'300'!$G$92,'300'!$G$95,'300'!$G$97,'300'!$G$99,'300'!$G$101,'300'!$G$103,'300'!$G$105,'300'!$G$110,'300'!$G$115,'300'!$G$119,'300'!$G$122,'300'!$G$130,'300'!$G$133,'300'!$G$135,'300'!$G$139</definedName>
    <definedName name="OSRRefD20x_3" localSheetId="49">'300 &amp; 317'!$G$58,'300 &amp; 317'!$G$69,'300 &amp; 317'!$G$80,'300 &amp; 317'!$G$82,'300 &amp; 317'!$G$84,'300 &amp; 317'!$G$86,'300 &amp; 317'!$G$89,'300 &amp; 317'!$G$92,'300 &amp; 317'!$G$94,'300 &amp; 317'!$G$96,'300 &amp; 317'!$G$98,'300 &amp; 317'!$G$101,'300 &amp; 317'!$G$103,'300 &amp; 317'!$G$105,'300 &amp; 317'!$G$107,'300 &amp; 317'!$G$109,'300 &amp; 317'!$G$111,'300 &amp; 317'!$G$116,'300 &amp; 317'!$G$121,'300 &amp; 317'!$G$125,'300 &amp; 317'!$G$128,'300 &amp; 317'!$G$136,'300 &amp; 317'!$G$139,'300 &amp; 317'!$G$141,'300 &amp; 317'!$G$145</definedName>
    <definedName name="OSRRefD20x_3" localSheetId="50">'301'!$G$19,'301'!$G$30,'301'!$G$41,'301'!$G$43,'301'!$G$45,'301'!$G$47,'301'!$G$50,'301'!$G$53,'301'!$G$55,'301'!$G$57,'301'!$G$59,'301'!$G$61,'301'!$G$63,'301'!$G$65,'301'!$G$67,'301'!$G$69,'301'!$G$74,'301'!$G$77,'301'!$G$79,'301'!$G$86,'301'!$G$88,'301'!$G$90,'301'!$G$93</definedName>
    <definedName name="OSRRefD20x_3" localSheetId="52">'307'!$G$32,'307'!$G$41,'307'!$G$52,'307'!$G$54,'307'!$G$56,'307'!$G$58,'307'!$G$60,'307'!$G$62,'307'!$G$64,'307'!$G$66,'307'!$G$69,'307'!$G$72,'307'!$G$77</definedName>
    <definedName name="OSRRefD20x_3" localSheetId="53">'308'!$G$33,'308'!$G$44,'308'!$G$55,'308'!$G$57,'308'!$G$59,'308'!$G$61,'308'!$G$63,'308'!$G$65,'308'!$G$67,'308'!$G$71,'308'!$G$74,'308'!$G$77,'308'!$G$80</definedName>
    <definedName name="OSRRefD20x_3" localSheetId="64">'309'!$G$18,'309'!$G$20,'309'!$G$22,'309'!$G$24,'309'!$G$26,'309'!$G$29,'309'!$G$31</definedName>
    <definedName name="OSRRefD20x_3" localSheetId="63">'310'!$G$25,'310'!$G$35,'310'!$G$46,'310'!$G$48,'310'!$G$50,'310'!$G$52,'310'!$G$55,'310'!$G$57,'310'!$G$59,'310'!$G$61,'310'!$G$63,'310'!$G$65,'310'!$G$68,'310'!$G$70,'310'!$G$74,'310'!$G$80,'310'!$G$83,'310'!$G$85</definedName>
    <definedName name="OSRRefD20x_3" localSheetId="71">'310 &amp; 491'!$G$27,'310 &amp; 491'!$G$37,'310 &amp; 491'!$G$48,'310 &amp; 491'!$G$50,'310 &amp; 491'!$G$52,'310 &amp; 491'!$G$54,'310 &amp; 491'!$G$57,'310 &amp; 491'!$G$59,'310 &amp; 491'!$G$61,'310 &amp; 491'!$G$64,'310 &amp; 491'!$G$66,'310 &amp; 491'!$G$68,'310 &amp; 491'!$G$70,'310 &amp; 491'!$G$75,'310 &amp; 491'!$G$78,'310 &amp; 491'!$G$84,'310 &amp; 491'!$G$86,'310 &amp; 491'!$G$97,'310 &amp; 491'!$G$100,'310 &amp; 491'!$G$102,'310 &amp; 491'!$G$104</definedName>
    <definedName name="OSRRefD20x_3" localSheetId="54">'311'!$G$33,'311'!$G$44,'311'!$G$55,'311'!$G$57,'311'!$G$59,'311'!$G$61,'311'!$G$63,'311'!$G$65,'311'!$G$67,'311'!$G$71,'311'!$G$74,'311'!$G$77,'311'!$G$80</definedName>
    <definedName name="OSRRefD20x_3" localSheetId="65">'313'!$G$18,'313'!$G$20,'313'!$G$22</definedName>
    <definedName name="OSRRefD20x_3" localSheetId="57">'315'!$G$42,'315'!$G$52,'315'!$G$63,'315'!$G$65,'315'!$G$67,'315'!$G$69,'315'!$G$71,'315'!$G$73,'315'!$G$75,'315'!$G$78,'315'!$G$80,'315'!$G$82,'315'!$G$84,'315'!$G$87,'315'!$G$91,'315'!$G$94,'315'!$G$99,'315'!$G$101</definedName>
    <definedName name="OSRRefD20x_3" localSheetId="60">'316'!$G$25,'316'!$G$35,'316'!$G$46,'316'!$G$48,'316'!$G$50,'316'!$G$52,'316'!$G$55,'316'!$G$57,'316'!$G$60,'316'!$G$62,'316'!$G$67</definedName>
    <definedName name="OSRRefD20x_3" localSheetId="62">'317'!$G$33,'317'!$G$44,'317'!$G$55,'317'!$G$57,'317'!$G$59,'317'!$G$61,'317'!$G$63,'317'!$G$65,'317'!$G$67,'317'!$G$70</definedName>
    <definedName name="OSRRefD20x_3" localSheetId="66">'321'!$G$22,'321'!$G$32,'321'!$G$43,'321'!$G$45,'321'!$G$47,'321'!$G$49,'321'!$G$51,'321'!$G$54,'321'!$G$56,'321'!$G$59,'321'!$G$64,'321'!$G$66</definedName>
    <definedName name="OSRRefD20x_3" localSheetId="67">'322'!$G$18</definedName>
    <definedName name="OSRRefD20x_3" localSheetId="68">'325'!$G$23,'325'!$G$33,'325'!$G$44,'325'!$G$46,'325'!$G$48,'325'!$G$50,'325'!$G$53,'325'!$G$55,'325'!$G$57,'325'!$G$59,'325'!$G$61,'325'!$G$63,'325'!$G$66,'325'!$G$70,'325'!$G$76,'325'!$G$79</definedName>
    <definedName name="OSRRefD20x_3" localSheetId="58">'326'!$G$26,'326'!$G$36,'326'!$G$47,'326'!$G$49,'326'!$G$51,'326'!$G$53,'326'!$G$55,'326'!$G$57,'326'!$G$59,'326'!$G$61,'326'!$G$63,'326'!$G$65,'326'!$G$68,'326'!$G$71,'326'!$G$74,'326'!$G$78,'326'!$G$80,'326'!$G$83</definedName>
    <definedName name="OSRRefD20x_3" localSheetId="69">'327'!$G$24</definedName>
    <definedName name="OSRRefD20x_3" localSheetId="51">'330'!$G$32,'330'!$G$41,'330'!$G$52,'330'!$G$54,'330'!$G$56,'330'!$G$58,'330'!$G$60,'330'!$G$62,'330'!$G$64,'330'!$G$66,'330'!$G$69,'330'!$G$72,'330'!$G$77</definedName>
    <definedName name="OSRRefD20x_3" localSheetId="56">'331'!$G$42,'331'!$G$52,'331'!$G$63,'331'!$G$65,'331'!$G$67,'331'!$G$69,'331'!$G$71,'331'!$G$73,'331'!$G$75,'331'!$G$78,'331'!$G$80,'331'!$G$82,'331'!$G$84,'331'!$G$86,'331'!$G$88,'331'!$G$91,'331'!$G$95,'331'!$G$98,'331'!$G$101,'331'!$G$107,'331'!$G$109,'331'!$G$112</definedName>
    <definedName name="OSRRefD20x_3" localSheetId="59">'332'!$G$25,'332'!$G$35,'332'!$G$46,'332'!$G$48,'332'!$G$50,'332'!$G$52,'332'!$G$55,'332'!$G$57,'332'!$G$60,'332'!$G$62,'332'!$G$67</definedName>
    <definedName name="OSRRefD20x_3" localSheetId="73">'405'!$G$25,'405'!$G$35,'405'!$G$46,'405'!$G$48,'405'!$G$50,'405'!$G$52,'405'!$G$55,'405'!$G$57,'405'!$G$59,'405'!$G$61,'405'!$G$64,'405'!$G$68,'405'!$G$70,'405'!$G$79,'405'!$G$81,'405'!$G$83,'405'!$G$85</definedName>
    <definedName name="OSRRefD20x_3" localSheetId="74">'406'!$G$18</definedName>
    <definedName name="OSRRefD20x_3" localSheetId="75">'411'!$G$18,'411'!$G$28,'411'!$G$39,'411'!$G$41,'411'!$G$44,'411'!$G$46,'411'!$G$48,'411'!$G$50,'411'!$G$52,'411'!$G$57,'411'!$G$60,'411'!$G$62,'411'!$G$64,'411'!$G$66,'411'!$G$68</definedName>
    <definedName name="OSRRefD20x_3" localSheetId="76">'412'!$G$18,'412'!$G$20,'412'!$G$22</definedName>
    <definedName name="OSRRefD20x_3" localSheetId="77">'413'!$G$18,'413'!$G$20</definedName>
    <definedName name="OSRRefD20x_3" localSheetId="78">'414'!$G$18,'414'!$G$20</definedName>
    <definedName name="OSRRefD20x_3" localSheetId="79">'415'!$G$25,'415'!$G$35,'415'!$G$46,'415'!$G$48,'415'!$G$50,'415'!$G$52,'415'!$G$55,'415'!$G$57,'415'!$G$59,'415'!$G$61,'415'!$G$63,'415'!$G$65,'415'!$G$68,'415'!$G$73,'415'!$G$75,'415'!$G$81,'415'!$G$84,'415'!$G$86</definedName>
    <definedName name="OSRRefD20x_3" localSheetId="80">'418'!$G$22,'418'!$G$32,'418'!$G$43,'418'!$G$45,'418'!$G$47,'418'!$G$50,'418'!$G$52,'418'!$G$54,'418'!$G$57,'418'!$G$60,'418'!$G$64,'418'!$G$66,'418'!$G$74,'418'!$G$77,'418'!$G$79,'418'!$G$81</definedName>
    <definedName name="OSRRefD20x_3" localSheetId="81">'423'!$G$18,'423'!$G$27,'423'!$G$38,'423'!$G$40,'423'!$G$42</definedName>
    <definedName name="OSRRefD20x_3" localSheetId="82">'424'!$G$18,'424'!$G$20</definedName>
    <definedName name="OSRRefD20x_3" localSheetId="84">'425'!$G$20,'425'!$G$22,'425'!$G$24,'425'!$G$26,'425'!$G$28</definedName>
    <definedName name="OSRRefD20x_3" localSheetId="86">'430'!$G$18,'430'!$G$28,'430'!$G$39,'430'!$G$41,'430'!$G$43,'430'!$G$45,'430'!$G$48,'430'!$G$51,'430'!$G$53</definedName>
    <definedName name="OSRRefD20x_3" localSheetId="87">'433'!$G$25,'433'!$G$36,'433'!$G$47,'433'!$G$49,'433'!$G$51,'433'!$G$53,'433'!$G$55,'433'!$G$57,'433'!$G$59,'433'!$G$61,'433'!$G$63,'433'!$G$65,'433'!$G$69,'433'!$G$74,'433'!$G$83,'433'!$G$85</definedName>
    <definedName name="OSRRefD20x_3" localSheetId="88">'444'!$G$25,'444'!$G$36,'444'!$G$47,'444'!$G$49,'444'!$G$51,'444'!$G$53,'444'!$G$55,'444'!$G$57,'444'!$G$59,'444'!$G$61,'444'!$G$63,'444'!$G$65,'444'!$G$68,'444'!$G$73,'444'!$G$82,'444'!$G$84</definedName>
    <definedName name="OSRRefD20x_3" localSheetId="89">'450'!$G$25,'450'!$G$36,'450'!$G$47,'450'!$G$49,'450'!$G$51,'450'!$G$53,'450'!$G$55,'450'!$G$57,'450'!$G$59,'450'!$G$61,'450'!$G$63,'450'!$G$65,'450'!$G$68,'450'!$G$73,'450'!$G$81,'450'!$G$83,'450'!$G$85</definedName>
    <definedName name="OSRRefD20x_3" localSheetId="72">'491'!$G$26,'491'!$G$36,'491'!$G$47,'491'!$G$49,'491'!$G$51,'491'!$G$53,'491'!$G$56,'491'!$G$58,'491'!$G$60,'491'!$G$63,'491'!$G$65,'491'!$G$67,'491'!$G$69,'491'!$G$74,'491'!$G$76,'491'!$G$82,'491'!$G$84,'491'!$G$94,'491'!$G$97,'491'!$G$99,'491'!$G$101</definedName>
    <definedName name="OSRRefD20x_3" localSheetId="85">'492'!$G$25,'492'!$G$36,'492'!$G$47,'492'!$G$49,'492'!$G$51,'492'!$G$53,'492'!$G$55,'492'!$G$57,'492'!$G$59,'492'!$G$61,'492'!$G$63,'492'!$G$65,'492'!$G$67,'492'!$G$71,'492'!$G$76,'492'!$G$85,'492'!$G$88,'492'!$G$90</definedName>
    <definedName name="OSRRefD20x_3" localSheetId="91">'501'!$G$19,'501'!$G$30,'501'!$G$41,'501'!$G$43,'501'!$G$45,'501'!$G$47,'501'!$G$50,'501'!$G$52,'501'!$G$54,'501'!$G$56,'501'!$G$59,'501'!$G$61,'501'!$G$65,'501'!$G$67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2'!$G$77,'Div 2'!$G$83,'Div 2'!$G$86,'Div 2'!$G$88</definedName>
    <definedName name="OSRRefD20x_3" localSheetId="47">'Div 3'!$G$56,'Div 3'!$G$67,'Div 3'!$G$78,'Div 3'!$G$80,'Div 3'!$G$82,'Div 3'!$G$84,'Div 3'!$G$87,'Div 3'!$G$90,'Div 3'!$G$92,'Div 3'!$G$94,'Div 3'!$G$96,'Div 3'!$G$99,'Div 3'!$G$101,'Div 3'!$G$103,'Div 3'!$G$105,'Div 3'!$G$107,'Div 3'!$G$109,'Div 3'!$G$111,'Div 3'!$G$116,'Div 3'!$G$121,'Div 3'!$G$126,'Div 3'!$G$129,'Div 3'!$G$137,'Div 3'!$G$140,'Div 3'!$G$142,'Div 3'!$G$146</definedName>
    <definedName name="OSRRefD20x_3" localSheetId="70">'Div 4'!$G$27,'Div 4'!$G$38,'Div 4'!$G$49,'Div 4'!$G$51,'Div 4'!$G$53,'Div 4'!$G$55,'Div 4'!$G$58,'Div 4'!$G$60,'Div 4'!$G$62,'Div 4'!$G$64,'Div 4'!$G$67,'Div 4'!$G$69,'Div 4'!$G$71,'Div 4'!$G$73,'Div 4'!$G$75,'Div 4'!$G$80,'Div 4'!$G$82,'Div 4'!$G$88,'Div 4'!$G$90,'Div 4'!$G$101,'Div 4'!$G$104,'Div 4'!$G$106,'Div 4'!$G$109</definedName>
    <definedName name="OSRRefD20x_3" localSheetId="90">'Div 5'!$G$19,'Div 5'!$G$30,'Div 5'!$G$41,'Div 5'!$G$43,'Div 5'!$G$45,'Div 5'!$G$47,'Div 5'!$G$50,'Div 5'!$G$52,'Div 5'!$G$54,'Div 5'!$G$56,'Div 5'!$G$59,'Div 5'!$G$61,'Div 5'!$G$65,'Div 5'!$G$67</definedName>
    <definedName name="OSRRefD20x_3" localSheetId="61">'Div 6'!$G$33,'Div 6'!$G$44,'Div 6'!$G$55,'Div 6'!$G$57,'Div 6'!$G$59,'Div 6'!$G$61,'Div 6'!$G$63,'Div 6'!$G$65,'Div 6'!$G$67,'Div 6'!$G$70</definedName>
    <definedName name="OSRRefD20x_3" localSheetId="2">Summary!$G$64,Summary!$G$75,Summary!$G$86,Summary!$G$88,Summary!$G$90,Summary!$G$92,Summary!$G$95,Summary!$G$98,Summary!$G$100,Summary!$G$102,Summary!$G$104,Summary!$G$107,Summary!$G$110,Summary!$G$112,Summary!$G$114,Summary!$G$116,Summary!$G$118,Summary!$G$120,Summary!$G$122,Summary!$G$127,Summary!$G$132,Summary!$G$138,Summary!$G$141,Summary!$G$152,Summary!$G$155,Summary!$G$157,Summary!$G$161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'201'!$H$18,'201'!$H$28,'201'!$H$39,'201'!$H$41,'201'!$H$43,'201'!$H$45,'201'!$H$47,'201'!$H$49,'201'!$H$51,'201'!$H$53,'201'!$H$57,'201'!$H$60,'201'!$H$62,'201'!$H$65,'201'!$H$67</definedName>
    <definedName name="OSRRefD20x_4" localSheetId="42">'202'!$H$18,'202'!$H$28,'202'!$H$39,'202'!$H$41,'202'!$H$43,'202'!$H$45,'202'!$H$47,'202'!$H$49,'202'!$H$53,'202'!$H$55,'202'!$H$57,'202'!$H$59,'202'!$H$61</definedName>
    <definedName name="OSRRefD20x_4" localSheetId="43">'203'!$H$18,'203'!$H$29,'203'!$H$40,'203'!$H$42,'203'!$H$44,'203'!$H$46,'203'!$H$48,'203'!$H$50,'203'!$H$52,'203'!$H$56,'203'!$H$59,'203'!$H$61,'203'!$H$66,'203'!$H$68</definedName>
    <definedName name="OSRRefD20x_4" localSheetId="44">'204'!$H$18,'204'!$H$28,'204'!$H$39,'204'!$H$42,'204'!$H$44,'204'!$H$49,'204'!$H$51,'204'!$H$53,'204'!$H$56,'204'!$H$58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'206'!$H$18,'206'!$H$28,'206'!$H$39,'206'!$H$41,'206'!$H$44,'206'!$H$46</definedName>
    <definedName name="OSRRefD20x_4" localSheetId="48">'300'!$H$52,'300'!$H$63,'300'!$H$74,'300'!$H$76,'300'!$H$78,'300'!$H$80,'300'!$H$83,'300'!$H$86,'300'!$H$88,'300'!$H$90,'300'!$H$92,'300'!$H$95,'300'!$H$97,'300'!$H$99,'300'!$H$101,'300'!$H$103,'300'!$H$105,'300'!$H$110,'300'!$H$115,'300'!$H$119,'300'!$H$122,'300'!$H$130,'300'!$H$133,'300'!$H$135,'300'!$H$139</definedName>
    <definedName name="OSRRefD20x_4" localSheetId="49">'300 &amp; 317'!$H$58,'300 &amp; 317'!$H$69,'300 &amp; 317'!$H$80,'300 &amp; 317'!$H$82,'300 &amp; 317'!$H$84,'300 &amp; 317'!$H$86,'300 &amp; 317'!$H$89,'300 &amp; 317'!$H$92,'300 &amp; 317'!$H$94,'300 &amp; 317'!$H$96,'300 &amp; 317'!$H$98,'300 &amp; 317'!$H$101,'300 &amp; 317'!$H$103,'300 &amp; 317'!$H$105,'300 &amp; 317'!$H$107,'300 &amp; 317'!$H$109,'300 &amp; 317'!$H$111,'300 &amp; 317'!$H$116,'300 &amp; 317'!$H$121,'300 &amp; 317'!$H$125,'300 &amp; 317'!$H$128,'300 &amp; 317'!$H$136,'300 &amp; 317'!$H$139,'300 &amp; 317'!$H$141,'300 &amp; 317'!$H$145</definedName>
    <definedName name="OSRRefD20x_4" localSheetId="50">'301'!$H$19,'301'!$H$30,'301'!$H$41,'301'!$H$43,'301'!$H$45,'301'!$H$47,'301'!$H$50,'301'!$H$53,'301'!$H$55,'301'!$H$57,'301'!$H$59,'301'!$H$61,'301'!$H$63,'301'!$H$65,'301'!$H$67,'301'!$H$69,'301'!$H$74,'301'!$H$77,'301'!$H$79,'301'!$H$86,'301'!$H$88,'301'!$H$90,'301'!$H$93</definedName>
    <definedName name="OSRRefD20x_4" localSheetId="52">'307'!$H$32,'307'!$H$41,'307'!$H$52,'307'!$H$54,'307'!$H$56,'307'!$H$58,'307'!$H$60,'307'!$H$62,'307'!$H$64,'307'!$H$66,'307'!$H$69,'307'!$H$72,'307'!$H$77</definedName>
    <definedName name="OSRRefD20x_4" localSheetId="53">'308'!$H$33,'308'!$H$44,'308'!$H$55,'308'!$H$57,'308'!$H$59,'308'!$H$61,'308'!$H$63,'308'!$H$65,'308'!$H$67,'308'!$H$71,'308'!$H$74,'308'!$H$77,'308'!$H$80</definedName>
    <definedName name="OSRRefD20x_4" localSheetId="64">'309'!$H$18,'309'!$H$20,'309'!$H$22,'309'!$H$24,'309'!$H$26,'309'!$H$29,'309'!$H$31</definedName>
    <definedName name="OSRRefD20x_4" localSheetId="63">'310'!$H$25,'310'!$H$35,'310'!$H$46,'310'!$H$48,'310'!$H$50,'310'!$H$52,'310'!$H$55,'310'!$H$57,'310'!$H$59,'310'!$H$61,'310'!$H$63,'310'!$H$65,'310'!$H$68,'310'!$H$70,'310'!$H$74,'310'!$H$80,'310'!$H$83,'310'!$H$85</definedName>
    <definedName name="OSRRefD20x_4" localSheetId="71">'310 &amp; 491'!$H$27,'310 &amp; 491'!$H$37,'310 &amp; 491'!$H$48,'310 &amp; 491'!$H$50,'310 &amp; 491'!$H$52,'310 &amp; 491'!$H$54,'310 &amp; 491'!$H$57,'310 &amp; 491'!$H$59,'310 &amp; 491'!$H$61,'310 &amp; 491'!$H$64,'310 &amp; 491'!$H$66,'310 &amp; 491'!$H$68,'310 &amp; 491'!$H$70,'310 &amp; 491'!$H$75,'310 &amp; 491'!$H$78,'310 &amp; 491'!$H$84,'310 &amp; 491'!$H$86,'310 &amp; 491'!$H$97,'310 &amp; 491'!$H$100,'310 &amp; 491'!$H$102,'310 &amp; 491'!$H$104</definedName>
    <definedName name="OSRRefD20x_4" localSheetId="54">'311'!$H$33,'311'!$H$44,'311'!$H$55,'311'!$H$57,'311'!$H$59,'311'!$H$61,'311'!$H$63,'311'!$H$65,'311'!$H$67,'311'!$H$71,'311'!$H$74,'311'!$H$77,'311'!$H$80</definedName>
    <definedName name="OSRRefD20x_4" localSheetId="65">'313'!$H$18,'313'!$H$20,'313'!$H$22</definedName>
    <definedName name="OSRRefD20x_4" localSheetId="57">'315'!$H$42,'315'!$H$52,'315'!$H$63,'315'!$H$65,'315'!$H$67,'315'!$H$69,'315'!$H$71,'315'!$H$73,'315'!$H$75,'315'!$H$78,'315'!$H$80,'315'!$H$82,'315'!$H$84,'315'!$H$87,'315'!$H$91,'315'!$H$94,'315'!$H$99,'315'!$H$101</definedName>
    <definedName name="OSRRefD20x_4" localSheetId="60">'316'!$H$25,'316'!$H$35,'316'!$H$46,'316'!$H$48,'316'!$H$50,'316'!$H$52,'316'!$H$55,'316'!$H$57,'316'!$H$60,'316'!$H$62,'316'!$H$67</definedName>
    <definedName name="OSRRefD20x_4" localSheetId="62">'317'!$H$33,'317'!$H$44,'317'!$H$55,'317'!$H$57,'317'!$H$59,'317'!$H$61,'317'!$H$63,'317'!$H$65,'317'!$H$67,'317'!$H$70</definedName>
    <definedName name="OSRRefD20x_4" localSheetId="66">'321'!$H$22,'321'!$H$32,'321'!$H$43,'321'!$H$45,'321'!$H$47,'321'!$H$49,'321'!$H$51,'321'!$H$54,'321'!$H$56,'321'!$H$59,'321'!$H$64,'321'!$H$66</definedName>
    <definedName name="OSRRefD20x_4" localSheetId="67">'322'!$H$18</definedName>
    <definedName name="OSRRefD20x_4" localSheetId="68">'325'!$H$23,'325'!$H$33,'325'!$H$44,'325'!$H$46,'325'!$H$48,'325'!$H$50,'325'!$H$53,'325'!$H$55,'325'!$H$57,'325'!$H$59,'325'!$H$61,'325'!$H$63,'325'!$H$66,'325'!$H$70,'325'!$H$76,'325'!$H$79</definedName>
    <definedName name="OSRRefD20x_4" localSheetId="58">'326'!$H$26,'326'!$H$36,'326'!$H$47,'326'!$H$49,'326'!$H$51,'326'!$H$53,'326'!$H$55,'326'!$H$57,'326'!$H$59,'326'!$H$61,'326'!$H$63,'326'!$H$65,'326'!$H$68,'326'!$H$71,'326'!$H$74,'326'!$H$78,'326'!$H$80,'326'!$H$83</definedName>
    <definedName name="OSRRefD20x_4" localSheetId="69">'327'!$H$24</definedName>
    <definedName name="OSRRefD20x_4" localSheetId="51">'330'!$H$32,'330'!$H$41,'330'!$H$52,'330'!$H$54,'330'!$H$56,'330'!$H$58,'330'!$H$60,'330'!$H$62,'330'!$H$64,'330'!$H$66,'330'!$H$69,'330'!$H$72,'330'!$H$77</definedName>
    <definedName name="OSRRefD20x_4" localSheetId="56">'331'!$H$42,'331'!$H$52,'331'!$H$63,'331'!$H$65,'331'!$H$67,'331'!$H$69,'331'!$H$71,'331'!$H$73,'331'!$H$75,'331'!$H$78,'331'!$H$80,'331'!$H$82,'331'!$H$84,'331'!$H$86,'331'!$H$88,'331'!$H$91,'331'!$H$95,'331'!$H$98,'331'!$H$101,'331'!$H$107,'331'!$H$109,'331'!$H$112</definedName>
    <definedName name="OSRRefD20x_4" localSheetId="59">'332'!$H$25,'332'!$H$35,'332'!$H$46,'332'!$H$48,'332'!$H$50,'332'!$H$52,'332'!$H$55,'332'!$H$57,'332'!$H$60,'332'!$H$62,'332'!$H$67</definedName>
    <definedName name="OSRRefD20x_4" localSheetId="73">'405'!$H$25,'405'!$H$35,'405'!$H$46,'405'!$H$48,'405'!$H$50,'405'!$H$52,'405'!$H$55,'405'!$H$57,'405'!$H$59,'405'!$H$61,'405'!$H$64,'405'!$H$68,'405'!$H$70,'405'!$H$79,'405'!$H$81,'405'!$H$83,'405'!$H$85</definedName>
    <definedName name="OSRRefD20x_4" localSheetId="74">'406'!$H$18</definedName>
    <definedName name="OSRRefD20x_4" localSheetId="75">'411'!$H$18,'411'!$H$28,'411'!$H$39,'411'!$H$41,'411'!$H$44,'411'!$H$46,'411'!$H$48,'411'!$H$50,'411'!$H$52,'411'!$H$57,'411'!$H$60,'411'!$H$62,'411'!$H$64,'411'!$H$66,'411'!$H$68</definedName>
    <definedName name="OSRRefD20x_4" localSheetId="76">'412'!$H$18,'412'!$H$20,'412'!$H$22</definedName>
    <definedName name="OSRRefD20x_4" localSheetId="77">'413'!$H$18,'413'!$H$20</definedName>
    <definedName name="OSRRefD20x_4" localSheetId="78">'414'!$H$18,'414'!$H$20</definedName>
    <definedName name="OSRRefD20x_4" localSheetId="79">'415'!$H$25,'415'!$H$35,'415'!$H$46,'415'!$H$48,'415'!$H$50,'415'!$H$52,'415'!$H$55,'415'!$H$57,'415'!$H$59,'415'!$H$61,'415'!$H$63,'415'!$H$65,'415'!$H$68,'415'!$H$73,'415'!$H$75,'415'!$H$81,'415'!$H$84,'415'!$H$86</definedName>
    <definedName name="OSRRefD20x_4" localSheetId="80">'418'!$H$22,'418'!$H$32,'418'!$H$43,'418'!$H$45,'418'!$H$47,'418'!$H$50,'418'!$H$52,'418'!$H$54,'418'!$H$57,'418'!$H$60,'418'!$H$64,'418'!$H$66,'418'!$H$74,'418'!$H$77,'418'!$H$79,'418'!$H$81</definedName>
    <definedName name="OSRRefD20x_4" localSheetId="81">'423'!$H$18,'423'!$H$27,'423'!$H$38,'423'!$H$40,'423'!$H$42</definedName>
    <definedName name="OSRRefD20x_4" localSheetId="82">'424'!$H$18,'424'!$H$20</definedName>
    <definedName name="OSRRefD20x_4" localSheetId="84">'425'!$H$20,'425'!$H$22,'425'!$H$24,'425'!$H$26,'425'!$H$28</definedName>
    <definedName name="OSRRefD20x_4" localSheetId="86">'430'!$H$18,'430'!$H$28,'430'!$H$39,'430'!$H$41,'430'!$H$43,'430'!$H$45,'430'!$H$48,'430'!$H$51,'430'!$H$53</definedName>
    <definedName name="OSRRefD20x_4" localSheetId="87">'433'!$H$25,'433'!$H$36,'433'!$H$47,'433'!$H$49,'433'!$H$51,'433'!$H$53,'433'!$H$55,'433'!$H$57,'433'!$H$59,'433'!$H$61,'433'!$H$63,'433'!$H$65,'433'!$H$69,'433'!$H$74,'433'!$H$83,'433'!$H$85</definedName>
    <definedName name="OSRRefD20x_4" localSheetId="88">'444'!$H$25,'444'!$H$36,'444'!$H$47,'444'!$H$49,'444'!$H$51,'444'!$H$53,'444'!$H$55,'444'!$H$57,'444'!$H$59,'444'!$H$61,'444'!$H$63,'444'!$H$65,'444'!$H$68,'444'!$H$73,'444'!$H$82,'444'!$H$84</definedName>
    <definedName name="OSRRefD20x_4" localSheetId="89">'450'!$H$25,'450'!$H$36,'450'!$H$47,'450'!$H$49,'450'!$H$51,'450'!$H$53,'450'!$H$55,'450'!$H$57,'450'!$H$59,'450'!$H$61,'450'!$H$63,'450'!$H$65,'450'!$H$68,'450'!$H$73,'450'!$H$81,'450'!$H$83,'450'!$H$85</definedName>
    <definedName name="OSRRefD20x_4" localSheetId="72">'491'!$H$26,'491'!$H$36,'491'!$H$47,'491'!$H$49,'491'!$H$51,'491'!$H$53,'491'!$H$56,'491'!$H$58,'491'!$H$60,'491'!$H$63,'491'!$H$65,'491'!$H$67,'491'!$H$69,'491'!$H$74,'491'!$H$76,'491'!$H$82,'491'!$H$84,'491'!$H$94,'491'!$H$97,'491'!$H$99,'491'!$H$101</definedName>
    <definedName name="OSRRefD20x_4" localSheetId="85">'492'!$H$25,'492'!$H$36,'492'!$H$47,'492'!$H$49,'492'!$H$51,'492'!$H$53,'492'!$H$55,'492'!$H$57,'492'!$H$59,'492'!$H$61,'492'!$H$63,'492'!$H$65,'492'!$H$67,'492'!$H$71,'492'!$H$76,'492'!$H$85,'492'!$H$88,'492'!$H$90</definedName>
    <definedName name="OSRRefD20x_4" localSheetId="91">'501'!$H$19,'501'!$H$30,'501'!$H$41,'501'!$H$43,'501'!$H$45,'501'!$H$47,'501'!$H$50,'501'!$H$52,'501'!$H$54,'501'!$H$56,'501'!$H$59,'501'!$H$61,'501'!$H$65,'501'!$H$67</definedName>
    <definedName name="OSRRefD20x_4" localSheetId="39">'Div 2'!$H$18,'Div 2'!$H$30,'Div 2'!$H$41,'Div 2'!$H$43,'Div 2'!$H$45,'Div 2'!$H$47,'Div 2'!$H$50,'Div 2'!$H$52,'Div 2'!$H$54,'Div 2'!$H$56,'Div 2'!$H$58,'Div 2'!$H$60,'Div 2'!$H$62,'Div 2'!$H$67,'Div 2'!$H$72,'Div 2'!$H$75,'Div 2'!$H$77,'Div 2'!$H$83,'Div 2'!$H$86,'Div 2'!$H$88</definedName>
    <definedName name="OSRRefD20x_4" localSheetId="47">'Div 3'!$H$56,'Div 3'!$H$67,'Div 3'!$H$78,'Div 3'!$H$80,'Div 3'!$H$82,'Div 3'!$H$84,'Div 3'!$H$87,'Div 3'!$H$90,'Div 3'!$H$92,'Div 3'!$H$94,'Div 3'!$H$96,'Div 3'!$H$99,'Div 3'!$H$101,'Div 3'!$H$103,'Div 3'!$H$105,'Div 3'!$H$107,'Div 3'!$H$109,'Div 3'!$H$111,'Div 3'!$H$116,'Div 3'!$H$121,'Div 3'!$H$126,'Div 3'!$H$129,'Div 3'!$H$137,'Div 3'!$H$140,'Div 3'!$H$142,'Div 3'!$H$146</definedName>
    <definedName name="OSRRefD20x_4" localSheetId="70">'Div 4'!$H$27,'Div 4'!$H$38,'Div 4'!$H$49,'Div 4'!$H$51,'Div 4'!$H$53,'Div 4'!$H$55,'Div 4'!$H$58,'Div 4'!$H$60,'Div 4'!$H$62,'Div 4'!$H$64,'Div 4'!$H$67,'Div 4'!$H$69,'Div 4'!$H$71,'Div 4'!$H$73,'Div 4'!$H$75,'Div 4'!$H$80,'Div 4'!$H$82,'Div 4'!$H$88,'Div 4'!$H$90,'Div 4'!$H$101,'Div 4'!$H$104,'Div 4'!$H$106,'Div 4'!$H$109</definedName>
    <definedName name="OSRRefD20x_4" localSheetId="90">'Div 5'!$H$19,'Div 5'!$H$30,'Div 5'!$H$41,'Div 5'!$H$43,'Div 5'!$H$45,'Div 5'!$H$47,'Div 5'!$H$50,'Div 5'!$H$52,'Div 5'!$H$54,'Div 5'!$H$56,'Div 5'!$H$59,'Div 5'!$H$61,'Div 5'!$H$65,'Div 5'!$H$67</definedName>
    <definedName name="OSRRefD20x_4" localSheetId="61">'Div 6'!$H$33,'Div 6'!$H$44,'Div 6'!$H$55,'Div 6'!$H$57,'Div 6'!$H$59,'Div 6'!$H$61,'Div 6'!$H$63,'Div 6'!$H$65,'Div 6'!$H$67,'Div 6'!$H$70</definedName>
    <definedName name="OSRRefD20x_4" localSheetId="2">Summary!$H$64,Summary!$H$75,Summary!$H$86,Summary!$H$88,Summary!$H$90,Summary!$H$92,Summary!$H$95,Summary!$H$98,Summary!$H$100,Summary!$H$102,Summary!$H$104,Summary!$H$107,Summary!$H$110,Summary!$H$112,Summary!$H$114,Summary!$H$116,Summary!$H$118,Summary!$H$120,Summary!$H$122,Summary!$H$127,Summary!$H$132,Summary!$H$138,Summary!$H$141,Summary!$H$152,Summary!$H$155,Summary!$H$157,Summary!$H$161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'201'!$I$18,'201'!$I$28,'201'!$I$39,'201'!$I$41,'201'!$I$43,'201'!$I$45,'201'!$I$47,'201'!$I$49,'201'!$I$51,'201'!$I$53,'201'!$I$57,'201'!$I$60,'201'!$I$62,'201'!$I$65,'201'!$I$67</definedName>
    <definedName name="OSRRefD20x_5" localSheetId="42">'202'!$I$18,'202'!$I$28,'202'!$I$39,'202'!$I$41,'202'!$I$43,'202'!$I$45,'202'!$I$47,'202'!$I$49,'202'!$I$53,'202'!$I$55,'202'!$I$57,'202'!$I$59,'202'!$I$61</definedName>
    <definedName name="OSRRefD20x_5" localSheetId="43">'203'!$I$18,'203'!$I$29,'203'!$I$40,'203'!$I$42,'203'!$I$44,'203'!$I$46,'203'!$I$48,'203'!$I$50,'203'!$I$52,'203'!$I$56,'203'!$I$59,'203'!$I$61,'203'!$I$66,'203'!$I$68</definedName>
    <definedName name="OSRRefD20x_5" localSheetId="44">'204'!$I$18,'204'!$I$28,'204'!$I$39,'204'!$I$42,'204'!$I$44,'204'!$I$49,'204'!$I$51,'204'!$I$53,'204'!$I$56,'204'!$I$58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'206'!$I$18,'206'!$I$28,'206'!$I$39,'206'!$I$41,'206'!$I$44,'206'!$I$46</definedName>
    <definedName name="OSRRefD20x_5" localSheetId="48">'300'!$I$52,'300'!$I$63,'300'!$I$74,'300'!$I$76,'300'!$I$78,'300'!$I$80,'300'!$I$83,'300'!$I$86,'300'!$I$88,'300'!$I$90,'300'!$I$92,'300'!$I$95,'300'!$I$97,'300'!$I$99,'300'!$I$101,'300'!$I$103,'300'!$I$105,'300'!$I$110,'300'!$I$115,'300'!$I$119,'300'!$I$122,'300'!$I$130,'300'!$I$133,'300'!$I$135,'300'!$I$139</definedName>
    <definedName name="OSRRefD20x_5" localSheetId="49">'300 &amp; 317'!$I$58,'300 &amp; 317'!$I$69,'300 &amp; 317'!$I$80,'300 &amp; 317'!$I$82,'300 &amp; 317'!$I$84,'300 &amp; 317'!$I$86,'300 &amp; 317'!$I$89,'300 &amp; 317'!$I$92,'300 &amp; 317'!$I$94,'300 &amp; 317'!$I$96,'300 &amp; 317'!$I$98,'300 &amp; 317'!$I$101,'300 &amp; 317'!$I$103,'300 &amp; 317'!$I$105,'300 &amp; 317'!$I$107,'300 &amp; 317'!$I$109,'300 &amp; 317'!$I$111,'300 &amp; 317'!$I$116,'300 &amp; 317'!$I$121,'300 &amp; 317'!$I$125,'300 &amp; 317'!$I$128,'300 &amp; 317'!$I$136,'300 &amp; 317'!$I$139,'300 &amp; 317'!$I$141,'300 &amp; 317'!$I$145</definedName>
    <definedName name="OSRRefD20x_5" localSheetId="50">'301'!$I$19,'301'!$I$30,'301'!$I$41,'301'!$I$43,'301'!$I$45,'301'!$I$47,'301'!$I$50,'301'!$I$53,'301'!$I$55,'301'!$I$57,'301'!$I$59,'301'!$I$61,'301'!$I$63,'301'!$I$65,'301'!$I$67,'301'!$I$69,'301'!$I$74,'301'!$I$77,'301'!$I$79,'301'!$I$86,'301'!$I$88,'301'!$I$90,'301'!$I$93</definedName>
    <definedName name="OSRRefD20x_5" localSheetId="52">'307'!$I$32,'307'!$I$41,'307'!$I$52,'307'!$I$54,'307'!$I$56,'307'!$I$58,'307'!$I$60,'307'!$I$62,'307'!$I$64,'307'!$I$66,'307'!$I$69,'307'!$I$72,'307'!$I$77</definedName>
    <definedName name="OSRRefD20x_5" localSheetId="53">'308'!$I$33,'308'!$I$44,'308'!$I$55,'308'!$I$57,'308'!$I$59,'308'!$I$61,'308'!$I$63,'308'!$I$65,'308'!$I$67,'308'!$I$71,'308'!$I$74,'308'!$I$77,'308'!$I$80</definedName>
    <definedName name="OSRRefD20x_5" localSheetId="64">'309'!$I$18,'309'!$I$20,'309'!$I$22,'309'!$I$24,'309'!$I$26,'309'!$I$29,'309'!$I$31</definedName>
    <definedName name="OSRRefD20x_5" localSheetId="63">'310'!$I$25,'310'!$I$35,'310'!$I$46,'310'!$I$48,'310'!$I$50,'310'!$I$52,'310'!$I$55,'310'!$I$57,'310'!$I$59,'310'!$I$61,'310'!$I$63,'310'!$I$65,'310'!$I$68,'310'!$I$70,'310'!$I$74,'310'!$I$80,'310'!$I$83,'310'!$I$85</definedName>
    <definedName name="OSRRefD20x_5" localSheetId="71">'310 &amp; 491'!$I$27,'310 &amp; 491'!$I$37,'310 &amp; 491'!$I$48,'310 &amp; 491'!$I$50,'310 &amp; 491'!$I$52,'310 &amp; 491'!$I$54,'310 &amp; 491'!$I$57,'310 &amp; 491'!$I$59,'310 &amp; 491'!$I$61,'310 &amp; 491'!$I$64,'310 &amp; 491'!$I$66,'310 &amp; 491'!$I$68,'310 &amp; 491'!$I$70,'310 &amp; 491'!$I$75,'310 &amp; 491'!$I$78,'310 &amp; 491'!$I$84,'310 &amp; 491'!$I$86,'310 &amp; 491'!$I$97,'310 &amp; 491'!$I$100,'310 &amp; 491'!$I$102,'310 &amp; 491'!$I$104</definedName>
    <definedName name="OSRRefD20x_5" localSheetId="54">'311'!$I$33,'311'!$I$44,'311'!$I$55,'311'!$I$57,'311'!$I$59,'311'!$I$61,'311'!$I$63,'311'!$I$65,'311'!$I$67,'311'!$I$71,'311'!$I$74,'311'!$I$77,'311'!$I$80</definedName>
    <definedName name="OSRRefD20x_5" localSheetId="65">'313'!$I$18,'313'!$I$20,'313'!$I$22</definedName>
    <definedName name="OSRRefD20x_5" localSheetId="57">'315'!$I$42,'315'!$I$52,'315'!$I$63,'315'!$I$65,'315'!$I$67,'315'!$I$69,'315'!$I$71,'315'!$I$73,'315'!$I$75,'315'!$I$78,'315'!$I$80,'315'!$I$82,'315'!$I$84,'315'!$I$87,'315'!$I$91,'315'!$I$94,'315'!$I$99,'315'!$I$101</definedName>
    <definedName name="OSRRefD20x_5" localSheetId="60">'316'!$I$25,'316'!$I$35,'316'!$I$46,'316'!$I$48,'316'!$I$50,'316'!$I$52,'316'!$I$55,'316'!$I$57,'316'!$I$60,'316'!$I$62,'316'!$I$67</definedName>
    <definedName name="OSRRefD20x_5" localSheetId="62">'317'!$I$33,'317'!$I$44,'317'!$I$55,'317'!$I$57,'317'!$I$59,'317'!$I$61,'317'!$I$63,'317'!$I$65,'317'!$I$67,'317'!$I$70</definedName>
    <definedName name="OSRRefD20x_5" localSheetId="66">'321'!$I$22,'321'!$I$32,'321'!$I$43,'321'!$I$45,'321'!$I$47,'321'!$I$49,'321'!$I$51,'321'!$I$54,'321'!$I$56,'321'!$I$59,'321'!$I$64,'321'!$I$66</definedName>
    <definedName name="OSRRefD20x_5" localSheetId="67">'322'!$I$18</definedName>
    <definedName name="OSRRefD20x_5" localSheetId="68">'325'!$I$23,'325'!$I$33,'325'!$I$44,'325'!$I$46,'325'!$I$48,'325'!$I$50,'325'!$I$53,'325'!$I$55,'325'!$I$57,'325'!$I$59,'325'!$I$61,'325'!$I$63,'325'!$I$66,'325'!$I$70,'325'!$I$76,'325'!$I$79</definedName>
    <definedName name="OSRRefD20x_5" localSheetId="58">'326'!$I$26,'326'!$I$36,'326'!$I$47,'326'!$I$49,'326'!$I$51,'326'!$I$53,'326'!$I$55,'326'!$I$57,'326'!$I$59,'326'!$I$61,'326'!$I$63,'326'!$I$65,'326'!$I$68,'326'!$I$71,'326'!$I$74,'326'!$I$78,'326'!$I$80,'326'!$I$83</definedName>
    <definedName name="OSRRefD20x_5" localSheetId="69">'327'!$I$24</definedName>
    <definedName name="OSRRefD20x_5" localSheetId="51">'330'!$I$32,'330'!$I$41,'330'!$I$52,'330'!$I$54,'330'!$I$56,'330'!$I$58,'330'!$I$60,'330'!$I$62,'330'!$I$64,'330'!$I$66,'330'!$I$69,'330'!$I$72,'330'!$I$77</definedName>
    <definedName name="OSRRefD20x_5" localSheetId="56">'331'!$I$42,'331'!$I$52,'331'!$I$63,'331'!$I$65,'331'!$I$67,'331'!$I$69,'331'!$I$71,'331'!$I$73,'331'!$I$75,'331'!$I$78,'331'!$I$80,'331'!$I$82,'331'!$I$84,'331'!$I$86,'331'!$I$88,'331'!$I$91,'331'!$I$95,'331'!$I$98,'331'!$I$101,'331'!$I$107,'331'!$I$109,'331'!$I$112</definedName>
    <definedName name="OSRRefD20x_5" localSheetId="59">'332'!$I$25,'332'!$I$35,'332'!$I$46,'332'!$I$48,'332'!$I$50,'332'!$I$52,'332'!$I$55,'332'!$I$57,'332'!$I$60,'332'!$I$62,'332'!$I$67</definedName>
    <definedName name="OSRRefD20x_5" localSheetId="73">'405'!$I$25,'405'!$I$35,'405'!$I$46,'405'!$I$48,'405'!$I$50,'405'!$I$52,'405'!$I$55,'405'!$I$57,'405'!$I$59,'405'!$I$61,'405'!$I$64,'405'!$I$68,'405'!$I$70,'405'!$I$79,'405'!$I$81,'405'!$I$83,'405'!$I$85</definedName>
    <definedName name="OSRRefD20x_5" localSheetId="74">'406'!$I$18</definedName>
    <definedName name="OSRRefD20x_5" localSheetId="75">'411'!$I$18,'411'!$I$28,'411'!$I$39,'411'!$I$41,'411'!$I$44,'411'!$I$46,'411'!$I$48,'411'!$I$50,'411'!$I$52,'411'!$I$57,'411'!$I$60,'411'!$I$62,'411'!$I$64,'411'!$I$66,'411'!$I$68</definedName>
    <definedName name="OSRRefD20x_5" localSheetId="76">'412'!$I$18,'412'!$I$20,'412'!$I$22</definedName>
    <definedName name="OSRRefD20x_5" localSheetId="77">'413'!$I$18,'413'!$I$20</definedName>
    <definedName name="OSRRefD20x_5" localSheetId="78">'414'!$I$18,'414'!$I$20</definedName>
    <definedName name="OSRRefD20x_5" localSheetId="79">'415'!$I$25,'415'!$I$35,'415'!$I$46,'415'!$I$48,'415'!$I$50,'415'!$I$52,'415'!$I$55,'415'!$I$57,'415'!$I$59,'415'!$I$61,'415'!$I$63,'415'!$I$65,'415'!$I$68,'415'!$I$73,'415'!$I$75,'415'!$I$81,'415'!$I$84,'415'!$I$86</definedName>
    <definedName name="OSRRefD20x_5" localSheetId="80">'418'!$I$22,'418'!$I$32,'418'!$I$43,'418'!$I$45,'418'!$I$47,'418'!$I$50,'418'!$I$52,'418'!$I$54,'418'!$I$57,'418'!$I$60,'418'!$I$64,'418'!$I$66,'418'!$I$74,'418'!$I$77,'418'!$I$79,'418'!$I$81</definedName>
    <definedName name="OSRRefD20x_5" localSheetId="81">'423'!$I$18,'423'!$I$27,'423'!$I$38,'423'!$I$40,'423'!$I$42</definedName>
    <definedName name="OSRRefD20x_5" localSheetId="82">'424'!$I$18,'424'!$I$20</definedName>
    <definedName name="OSRRefD20x_5" localSheetId="84">'425'!$I$20,'425'!$I$22,'425'!$I$24,'425'!$I$26,'425'!$I$28</definedName>
    <definedName name="OSRRefD20x_5" localSheetId="86">'430'!$I$18,'430'!$I$28,'430'!$I$39,'430'!$I$41,'430'!$I$43,'430'!$I$45,'430'!$I$48,'430'!$I$51,'430'!$I$53</definedName>
    <definedName name="OSRRefD20x_5" localSheetId="87">'433'!$I$25,'433'!$I$36,'433'!$I$47,'433'!$I$49,'433'!$I$51,'433'!$I$53,'433'!$I$55,'433'!$I$57,'433'!$I$59,'433'!$I$61,'433'!$I$63,'433'!$I$65,'433'!$I$69,'433'!$I$74,'433'!$I$83,'433'!$I$85</definedName>
    <definedName name="OSRRefD20x_5" localSheetId="88">'444'!$I$25,'444'!$I$36,'444'!$I$47,'444'!$I$49,'444'!$I$51,'444'!$I$53,'444'!$I$55,'444'!$I$57,'444'!$I$59,'444'!$I$61,'444'!$I$63,'444'!$I$65,'444'!$I$68,'444'!$I$73,'444'!$I$82,'444'!$I$84</definedName>
    <definedName name="OSRRefD20x_5" localSheetId="89">'450'!$I$25,'450'!$I$36,'450'!$I$47,'450'!$I$49,'450'!$I$51,'450'!$I$53,'450'!$I$55,'450'!$I$57,'450'!$I$59,'450'!$I$61,'450'!$I$63,'450'!$I$65,'450'!$I$68,'450'!$I$73,'450'!$I$81,'450'!$I$83,'450'!$I$85</definedName>
    <definedName name="OSRRefD20x_5" localSheetId="72">'491'!$I$26,'491'!$I$36,'491'!$I$47,'491'!$I$49,'491'!$I$51,'491'!$I$53,'491'!$I$56,'491'!$I$58,'491'!$I$60,'491'!$I$63,'491'!$I$65,'491'!$I$67,'491'!$I$69,'491'!$I$74,'491'!$I$76,'491'!$I$82,'491'!$I$84,'491'!$I$94,'491'!$I$97,'491'!$I$99,'491'!$I$101</definedName>
    <definedName name="OSRRefD20x_5" localSheetId="85">'492'!$I$25,'492'!$I$36,'492'!$I$47,'492'!$I$49,'492'!$I$51,'492'!$I$53,'492'!$I$55,'492'!$I$57,'492'!$I$59,'492'!$I$61,'492'!$I$63,'492'!$I$65,'492'!$I$67,'492'!$I$71,'492'!$I$76,'492'!$I$85,'492'!$I$88,'492'!$I$90</definedName>
    <definedName name="OSRRefD20x_5" localSheetId="91">'501'!$I$19,'501'!$I$30,'501'!$I$41,'501'!$I$43,'501'!$I$45,'501'!$I$47,'501'!$I$50,'501'!$I$52,'501'!$I$54,'501'!$I$56,'501'!$I$59,'501'!$I$61,'501'!$I$65,'501'!$I$67</definedName>
    <definedName name="OSRRefD20x_5" localSheetId="39">'Div 2'!$I$18,'Div 2'!$I$30,'Div 2'!$I$41,'Div 2'!$I$43,'Div 2'!$I$45,'Div 2'!$I$47,'Div 2'!$I$50,'Div 2'!$I$52,'Div 2'!$I$54,'Div 2'!$I$56,'Div 2'!$I$58,'Div 2'!$I$60,'Div 2'!$I$62,'Div 2'!$I$67,'Div 2'!$I$72,'Div 2'!$I$75,'Div 2'!$I$77,'Div 2'!$I$83,'Div 2'!$I$86,'Div 2'!$I$88</definedName>
    <definedName name="OSRRefD20x_5" localSheetId="47">'Div 3'!$I$56,'Div 3'!$I$67,'Div 3'!$I$78,'Div 3'!$I$80,'Div 3'!$I$82,'Div 3'!$I$84,'Div 3'!$I$87,'Div 3'!$I$90,'Div 3'!$I$92,'Div 3'!$I$94,'Div 3'!$I$96,'Div 3'!$I$99,'Div 3'!$I$101,'Div 3'!$I$103,'Div 3'!$I$105,'Div 3'!$I$107,'Div 3'!$I$109,'Div 3'!$I$111,'Div 3'!$I$116,'Div 3'!$I$121,'Div 3'!$I$126,'Div 3'!$I$129,'Div 3'!$I$137,'Div 3'!$I$140,'Div 3'!$I$142,'Div 3'!$I$146</definedName>
    <definedName name="OSRRefD20x_5" localSheetId="70">'Div 4'!$I$27,'Div 4'!$I$38,'Div 4'!$I$49,'Div 4'!$I$51,'Div 4'!$I$53,'Div 4'!$I$55,'Div 4'!$I$58,'Div 4'!$I$60,'Div 4'!$I$62,'Div 4'!$I$64,'Div 4'!$I$67,'Div 4'!$I$69,'Div 4'!$I$71,'Div 4'!$I$73,'Div 4'!$I$75,'Div 4'!$I$80,'Div 4'!$I$82,'Div 4'!$I$88,'Div 4'!$I$90,'Div 4'!$I$101,'Div 4'!$I$104,'Div 4'!$I$106,'Div 4'!$I$109</definedName>
    <definedName name="OSRRefD20x_5" localSheetId="90">'Div 5'!$I$19,'Div 5'!$I$30,'Div 5'!$I$41,'Div 5'!$I$43,'Div 5'!$I$45,'Div 5'!$I$47,'Div 5'!$I$50,'Div 5'!$I$52,'Div 5'!$I$54,'Div 5'!$I$56,'Div 5'!$I$59,'Div 5'!$I$61,'Div 5'!$I$65,'Div 5'!$I$67</definedName>
    <definedName name="OSRRefD20x_5" localSheetId="61">'Div 6'!$I$33,'Div 6'!$I$44,'Div 6'!$I$55,'Div 6'!$I$57,'Div 6'!$I$59,'Div 6'!$I$61,'Div 6'!$I$63,'Div 6'!$I$65,'Div 6'!$I$67,'Div 6'!$I$70</definedName>
    <definedName name="OSRRefD20x_5" localSheetId="2">Summary!$I$64,Summary!$I$75,Summary!$I$86,Summary!$I$88,Summary!$I$90,Summary!$I$92,Summary!$I$95,Summary!$I$98,Summary!$I$100,Summary!$I$102,Summary!$I$104,Summary!$I$107,Summary!$I$110,Summary!$I$112,Summary!$I$114,Summary!$I$116,Summary!$I$118,Summary!$I$120,Summary!$I$122,Summary!$I$127,Summary!$I$132,Summary!$I$138,Summary!$I$141,Summary!$I$152,Summary!$I$155,Summary!$I$157,Summary!$I$161</definedName>
    <definedName name="OSRRefD21_0_0x" localSheetId="40">'200'!$D$19:$I$19</definedName>
    <definedName name="OSRRefD21_0_0x" localSheetId="41">'201'!$D$19:$I$19</definedName>
    <definedName name="OSRRefD21_0_0x" localSheetId="42">'202'!$D$19:$I$19</definedName>
    <definedName name="OSRRefD21_0_0x" localSheetId="43">'203'!$D$19:$I$19</definedName>
    <definedName name="OSRRefD21_0_0x" localSheetId="44">'204'!$D$19:$I$19</definedName>
    <definedName name="OSRRefD21_0_0x" localSheetId="45">'205'!$D$19:$I$19</definedName>
    <definedName name="OSRRefD21_0_0x" localSheetId="46">'206'!$D$19:$I$19</definedName>
    <definedName name="OSRRefD21_0_0x" localSheetId="48">'300'!$D$53:$I$53</definedName>
    <definedName name="OSRRefD21_0_0x" localSheetId="49">'300 &amp; 317'!$D$59:$I$59</definedName>
    <definedName name="OSRRefD21_0_0x" localSheetId="50">'301'!$D$20:$I$20</definedName>
    <definedName name="OSRRefD21_0_0x" localSheetId="52">'307'!$D$33:$I$33</definedName>
    <definedName name="OSRRefD21_0_0x" localSheetId="53">'308'!$D$34:$I$34</definedName>
    <definedName name="OSRRefD21_0_0x" localSheetId="64">'309'!$D$19:$I$19</definedName>
    <definedName name="OSRRefD21_0_0x" localSheetId="63">'310'!$D$26:$I$26</definedName>
    <definedName name="OSRRefD21_0_0x" localSheetId="71">'310 &amp; 491'!$D$28:$I$28</definedName>
    <definedName name="OSRRefD21_0_0x" localSheetId="54">'311'!$D$34:$I$34</definedName>
    <definedName name="OSRRefD21_0_0x" localSheetId="65">'313'!$D$19:$I$19</definedName>
    <definedName name="OSRRefD21_0_0x" localSheetId="57">'315'!$D$43:$I$43</definedName>
    <definedName name="OSRRefD21_0_0x" localSheetId="60">'316'!$D$26:$I$26</definedName>
    <definedName name="OSRRefD21_0_0x" localSheetId="62">'317'!$D$34:$I$34</definedName>
    <definedName name="OSRRefD21_0_0x" localSheetId="66">'321'!$D$23:$I$23</definedName>
    <definedName name="OSRRefD21_0_0x" localSheetId="67">'322'!$D$19:$I$19</definedName>
    <definedName name="OSRRefD21_0_0x" localSheetId="68">'325'!$D$24:$I$24</definedName>
    <definedName name="OSRRefD21_0_0x" localSheetId="58">'326'!$D$27:$I$27</definedName>
    <definedName name="OSRRefD21_0_0x" localSheetId="69">'327'!$D$25:$I$25</definedName>
    <definedName name="OSRRefD21_0_0x" localSheetId="51">'330'!$D$33:$I$33</definedName>
    <definedName name="OSRRefD21_0_0x" localSheetId="56">'331'!$D$43:$I$43</definedName>
    <definedName name="OSRRefD21_0_0x" localSheetId="59">'332'!$D$26:$I$26</definedName>
    <definedName name="OSRRefD21_0_0x" localSheetId="73">'405'!$D$26:$I$26</definedName>
    <definedName name="OSRRefD21_0_0x" localSheetId="74">'406'!$D$19:$I$19</definedName>
    <definedName name="OSRRefD21_0_0x" localSheetId="75">'411'!$D$19:$I$19</definedName>
    <definedName name="OSRRefD21_0_0x" localSheetId="76">'412'!$D$19:$I$19</definedName>
    <definedName name="OSRRefD21_0_0x" localSheetId="77">'413'!$D$19:$I$19</definedName>
    <definedName name="OSRRefD21_0_0x" localSheetId="78">'414'!$D$19:$I$19</definedName>
    <definedName name="OSRRefD21_0_0x" localSheetId="79">'415'!$D$26:$I$26</definedName>
    <definedName name="OSRRefD21_0_0x" localSheetId="80">'418'!$D$23:$I$23</definedName>
    <definedName name="OSRRefD21_0_0x" localSheetId="81">'423'!$D$19:$I$19</definedName>
    <definedName name="OSRRefD21_0_0x" localSheetId="82">'424'!$D$19:$I$19</definedName>
    <definedName name="OSRRefD21_0_0x" localSheetId="84">'425'!$D$21:$I$21</definedName>
    <definedName name="OSRRefD21_0_0x" localSheetId="86">'430'!$D$19:$I$19</definedName>
    <definedName name="OSRRefD21_0_0x" localSheetId="87">'433'!$D$26:$I$26</definedName>
    <definedName name="OSRRefD21_0_0x" localSheetId="88">'444'!$D$26:$I$26</definedName>
    <definedName name="OSRRefD21_0_0x" localSheetId="89">'450'!$D$26:$I$26</definedName>
    <definedName name="OSRRefD21_0_0x" localSheetId="72">'491'!$D$27:$I$27</definedName>
    <definedName name="OSRRefD21_0_0x" localSheetId="85">'492'!$D$26:$I$26</definedName>
    <definedName name="OSRRefD21_0_0x" localSheetId="91">'501'!$D$20:$I$20</definedName>
    <definedName name="OSRRefD21_0_0x" localSheetId="39">'Div 2'!$D$19:$I$19</definedName>
    <definedName name="OSRRefD21_0_0x" localSheetId="47">'Div 3'!$D$57:$I$57</definedName>
    <definedName name="OSRRefD21_0_0x" localSheetId="70">'Div 4'!$D$28:$I$28</definedName>
    <definedName name="OSRRefD21_0_0x" localSheetId="90">'Div 5'!$D$20:$I$20</definedName>
    <definedName name="OSRRefD21_0_0x" localSheetId="61">'Div 6'!$D$34:$I$34</definedName>
    <definedName name="OSRRefD21_0_0x" localSheetId="2">Summary!$D$65:$I$65</definedName>
    <definedName name="OSRRefD21_0_10x" localSheetId="39">'Div 2'!$D$29:$I$29</definedName>
    <definedName name="OSRRefD21_0_1x" localSheetId="41">'201'!$D$20:$I$20</definedName>
    <definedName name="OSRRefD21_0_1x" localSheetId="42">'202'!$D$20:$I$20</definedName>
    <definedName name="OSRRefD21_0_1x" localSheetId="43">'203'!$D$20:$I$20</definedName>
    <definedName name="OSRRefD21_0_1x" localSheetId="44">'204'!$D$20:$I$20</definedName>
    <definedName name="OSRRefD21_0_1x" localSheetId="45">'205'!$D$20:$I$20</definedName>
    <definedName name="OSRRefD21_0_1x" localSheetId="46">'206'!$D$20:$I$20</definedName>
    <definedName name="OSRRefD21_0_1x" localSheetId="48">'300'!$D$54:$I$54</definedName>
    <definedName name="OSRRefD21_0_1x" localSheetId="49">'300 &amp; 317'!$D$60:$I$60</definedName>
    <definedName name="OSRRefD21_0_1x" localSheetId="50">'301'!$D$21:$I$21</definedName>
    <definedName name="OSRRefD21_0_1x" localSheetId="52">'307'!$D$34:$I$34</definedName>
    <definedName name="OSRRefD21_0_1x" localSheetId="53">'308'!$D$35:$I$35</definedName>
    <definedName name="OSRRefD21_0_1x" localSheetId="63">'310'!$D$27:$I$27</definedName>
    <definedName name="OSRRefD21_0_1x" localSheetId="71">'310 &amp; 491'!$D$29:$I$29</definedName>
    <definedName name="OSRRefD21_0_1x" localSheetId="54">'311'!$D$35:$I$35</definedName>
    <definedName name="OSRRefD21_0_1x" localSheetId="57">'315'!$D$44:$I$44</definedName>
    <definedName name="OSRRefD21_0_1x" localSheetId="60">'316'!$D$27:$I$27</definedName>
    <definedName name="OSRRefD21_0_1x" localSheetId="62">'317'!$D$35:$I$35</definedName>
    <definedName name="OSRRefD21_0_1x" localSheetId="66">'321'!$D$24:$I$24</definedName>
    <definedName name="OSRRefD21_0_1x" localSheetId="68">'325'!$D$25:$I$25</definedName>
    <definedName name="OSRRefD21_0_1x" localSheetId="58">'326'!$D$28:$I$28</definedName>
    <definedName name="OSRRefD21_0_1x" localSheetId="51">'330'!$D$34:$I$34</definedName>
    <definedName name="OSRRefD21_0_1x" localSheetId="56">'331'!$D$44:$I$44</definedName>
    <definedName name="OSRRefD21_0_1x" localSheetId="59">'332'!$D$27:$I$27</definedName>
    <definedName name="OSRRefD21_0_1x" localSheetId="73">'405'!$D$27:$I$27</definedName>
    <definedName name="OSRRefD21_0_1x" localSheetId="75">'411'!$D$20:$I$20</definedName>
    <definedName name="OSRRefD21_0_1x" localSheetId="79">'415'!$D$27:$I$27</definedName>
    <definedName name="OSRRefD21_0_1x" localSheetId="80">'418'!$D$24:$I$24</definedName>
    <definedName name="OSRRefD21_0_1x" localSheetId="81">'423'!$D$20:$I$20</definedName>
    <definedName name="OSRRefD21_0_1x" localSheetId="86">'430'!$D$20:$I$20</definedName>
    <definedName name="OSRRefD21_0_1x" localSheetId="87">'433'!$D$27:$I$27</definedName>
    <definedName name="OSRRefD21_0_1x" localSheetId="88">'444'!$D$27:$I$27</definedName>
    <definedName name="OSRRefD21_0_1x" localSheetId="89">'450'!$D$27:$I$27</definedName>
    <definedName name="OSRRefD21_0_1x" localSheetId="72">'491'!$D$28:$I$28</definedName>
    <definedName name="OSRRefD21_0_1x" localSheetId="85">'492'!$D$27:$I$27</definedName>
    <definedName name="OSRRefD21_0_1x" localSheetId="91">'501'!$D$21:$I$21</definedName>
    <definedName name="OSRRefD21_0_1x" localSheetId="39">'Div 2'!$D$20:$I$20</definedName>
    <definedName name="OSRRefD21_0_1x" localSheetId="47">'Div 3'!$D$58:$I$58</definedName>
    <definedName name="OSRRefD21_0_1x" localSheetId="70">'Div 4'!$D$29:$I$29</definedName>
    <definedName name="OSRRefD21_0_1x" localSheetId="90">'Div 5'!$D$21:$I$21</definedName>
    <definedName name="OSRRefD21_0_1x" localSheetId="61">'Div 6'!$D$35:$I$35</definedName>
    <definedName name="OSRRefD21_0_1x" localSheetId="2">Summary!$D$66:$I$66</definedName>
    <definedName name="OSRRefD21_0_2x" localSheetId="41">'201'!$D$21:$I$21</definedName>
    <definedName name="OSRRefD21_0_2x" localSheetId="42">'202'!$D$21:$I$21</definedName>
    <definedName name="OSRRefD21_0_2x" localSheetId="43">'203'!$D$21:$I$21</definedName>
    <definedName name="OSRRefD21_0_2x" localSheetId="44">'204'!$D$21:$I$21</definedName>
    <definedName name="OSRRefD21_0_2x" localSheetId="45">'205'!$D$21:$I$21</definedName>
    <definedName name="OSRRefD21_0_2x" localSheetId="46">'206'!$D$21:$I$21</definedName>
    <definedName name="OSRRefD21_0_2x" localSheetId="48">'300'!$D$55:$I$55</definedName>
    <definedName name="OSRRefD21_0_2x" localSheetId="49">'300 &amp; 317'!$D$61:$I$61</definedName>
    <definedName name="OSRRefD21_0_2x" localSheetId="50">'301'!$D$22:$I$22</definedName>
    <definedName name="OSRRefD21_0_2x" localSheetId="52">'307'!$D$35:$I$35</definedName>
    <definedName name="OSRRefD21_0_2x" localSheetId="53">'308'!$D$36:$I$36</definedName>
    <definedName name="OSRRefD21_0_2x" localSheetId="63">'310'!$D$28:$I$28</definedName>
    <definedName name="OSRRefD21_0_2x" localSheetId="71">'310 &amp; 491'!$D$30:$I$30</definedName>
    <definedName name="OSRRefD21_0_2x" localSheetId="54">'311'!$D$36:$I$36</definedName>
    <definedName name="OSRRefD21_0_2x" localSheetId="57">'315'!$D$45:$I$45</definedName>
    <definedName name="OSRRefD21_0_2x" localSheetId="60">'316'!$D$28:$I$28</definedName>
    <definedName name="OSRRefD21_0_2x" localSheetId="62">'317'!$D$36:$I$36</definedName>
    <definedName name="OSRRefD21_0_2x" localSheetId="66">'321'!$D$25:$I$25</definedName>
    <definedName name="OSRRefD21_0_2x" localSheetId="68">'325'!$D$26:$I$26</definedName>
    <definedName name="OSRRefD21_0_2x" localSheetId="58">'326'!$D$29:$I$29</definedName>
    <definedName name="OSRRefD21_0_2x" localSheetId="51">'330'!$D$35:$I$35</definedName>
    <definedName name="OSRRefD21_0_2x" localSheetId="56">'331'!$D$45:$I$45</definedName>
    <definedName name="OSRRefD21_0_2x" localSheetId="59">'332'!$D$28:$I$28</definedName>
    <definedName name="OSRRefD21_0_2x" localSheetId="73">'405'!$D$28:$I$28</definedName>
    <definedName name="OSRRefD21_0_2x" localSheetId="75">'411'!$D$21:$I$21</definedName>
    <definedName name="OSRRefD21_0_2x" localSheetId="79">'415'!$D$28:$I$28</definedName>
    <definedName name="OSRRefD21_0_2x" localSheetId="80">'418'!$D$25:$I$25</definedName>
    <definedName name="OSRRefD21_0_2x" localSheetId="81">'423'!$D$21:$I$21</definedName>
    <definedName name="OSRRefD21_0_2x" localSheetId="86">'430'!$D$21:$I$21</definedName>
    <definedName name="OSRRefD21_0_2x" localSheetId="87">'433'!$D$28:$I$28</definedName>
    <definedName name="OSRRefD21_0_2x" localSheetId="88">'444'!$D$28:$I$28</definedName>
    <definedName name="OSRRefD21_0_2x" localSheetId="89">'450'!$D$28:$I$28</definedName>
    <definedName name="OSRRefD21_0_2x" localSheetId="72">'491'!$D$29:$I$29</definedName>
    <definedName name="OSRRefD21_0_2x" localSheetId="85">'492'!$D$28:$I$28</definedName>
    <definedName name="OSRRefD21_0_2x" localSheetId="91">'501'!$D$22:$I$22</definedName>
    <definedName name="OSRRefD21_0_2x" localSheetId="39">'Div 2'!$D$21:$I$21</definedName>
    <definedName name="OSRRefD21_0_2x" localSheetId="47">'Div 3'!$D$59:$I$59</definedName>
    <definedName name="OSRRefD21_0_2x" localSheetId="70">'Div 4'!$D$30:$I$30</definedName>
    <definedName name="OSRRefD21_0_2x" localSheetId="90">'Div 5'!$D$22:$I$22</definedName>
    <definedName name="OSRRefD21_0_2x" localSheetId="61">'Div 6'!$D$36:$I$36</definedName>
    <definedName name="OSRRefD21_0_2x" localSheetId="2">Summary!$D$67:$I$67</definedName>
    <definedName name="OSRRefD21_0_3x" localSheetId="41">'201'!$D$22:$I$22</definedName>
    <definedName name="OSRRefD21_0_3x" localSheetId="42">'202'!$D$22:$I$22</definedName>
    <definedName name="OSRRefD21_0_3x" localSheetId="43">'203'!$D$22:$I$22</definedName>
    <definedName name="OSRRefD21_0_3x" localSheetId="44">'204'!$D$22:$I$22</definedName>
    <definedName name="OSRRefD21_0_3x" localSheetId="45">'205'!$D$22:$I$22</definedName>
    <definedName name="OSRRefD21_0_3x" localSheetId="46">'206'!$D$22:$I$22</definedName>
    <definedName name="OSRRefD21_0_3x" localSheetId="48">'300'!$D$56:$I$56</definedName>
    <definedName name="OSRRefD21_0_3x" localSheetId="49">'300 &amp; 317'!$D$62:$I$62</definedName>
    <definedName name="OSRRefD21_0_3x" localSheetId="50">'301'!$D$23:$I$23</definedName>
    <definedName name="OSRRefD21_0_3x" localSheetId="52">'307'!$D$36:$I$36</definedName>
    <definedName name="OSRRefD21_0_3x" localSheetId="53">'308'!$D$37:$I$37</definedName>
    <definedName name="OSRRefD21_0_3x" localSheetId="63">'310'!$D$29:$I$29</definedName>
    <definedName name="OSRRefD21_0_3x" localSheetId="71">'310 &amp; 491'!$D$31:$I$31</definedName>
    <definedName name="OSRRefD21_0_3x" localSheetId="54">'311'!$D$37:$I$37</definedName>
    <definedName name="OSRRefD21_0_3x" localSheetId="57">'315'!$D$46:$I$46</definedName>
    <definedName name="OSRRefD21_0_3x" localSheetId="60">'316'!$D$29:$I$29</definedName>
    <definedName name="OSRRefD21_0_3x" localSheetId="62">'317'!$D$37:$I$37</definedName>
    <definedName name="OSRRefD21_0_3x" localSheetId="66">'321'!$D$26:$I$26</definedName>
    <definedName name="OSRRefD21_0_3x" localSheetId="68">'325'!$D$27:$I$27</definedName>
    <definedName name="OSRRefD21_0_3x" localSheetId="58">'326'!$D$30:$I$30</definedName>
    <definedName name="OSRRefD21_0_3x" localSheetId="51">'330'!$D$36:$I$36</definedName>
    <definedName name="OSRRefD21_0_3x" localSheetId="56">'331'!$D$46:$I$46</definedName>
    <definedName name="OSRRefD21_0_3x" localSheetId="59">'332'!$D$29:$I$29</definedName>
    <definedName name="OSRRefD21_0_3x" localSheetId="73">'405'!$D$29:$I$29</definedName>
    <definedName name="OSRRefD21_0_3x" localSheetId="75">'411'!$D$22:$I$22</definedName>
    <definedName name="OSRRefD21_0_3x" localSheetId="79">'415'!$D$29:$I$29</definedName>
    <definedName name="OSRRefD21_0_3x" localSheetId="80">'418'!$D$26:$I$26</definedName>
    <definedName name="OSRRefD21_0_3x" localSheetId="81">'423'!$D$22:$I$22</definedName>
    <definedName name="OSRRefD21_0_3x" localSheetId="86">'430'!$D$22:$I$22</definedName>
    <definedName name="OSRRefD21_0_3x" localSheetId="87">'433'!$D$29:$I$29</definedName>
    <definedName name="OSRRefD21_0_3x" localSheetId="88">'444'!$D$29:$I$29</definedName>
    <definedName name="OSRRefD21_0_3x" localSheetId="89">'450'!$D$29:$I$29</definedName>
    <definedName name="OSRRefD21_0_3x" localSheetId="72">'491'!$D$30:$I$30</definedName>
    <definedName name="OSRRefD21_0_3x" localSheetId="85">'492'!$D$29:$I$29</definedName>
    <definedName name="OSRRefD21_0_3x" localSheetId="91">'501'!$D$23:$I$23</definedName>
    <definedName name="OSRRefD21_0_3x" localSheetId="39">'Div 2'!$D$22:$I$22</definedName>
    <definedName name="OSRRefD21_0_3x" localSheetId="47">'Div 3'!$D$60:$I$60</definedName>
    <definedName name="OSRRefD21_0_3x" localSheetId="70">'Div 4'!$D$31:$I$31</definedName>
    <definedName name="OSRRefD21_0_3x" localSheetId="90">'Div 5'!$D$23:$I$23</definedName>
    <definedName name="OSRRefD21_0_3x" localSheetId="61">'Div 6'!$D$37:$I$37</definedName>
    <definedName name="OSRRefD21_0_3x" localSheetId="2">Summary!$D$68:$I$68</definedName>
    <definedName name="OSRRefD21_0_4x" localSheetId="41">'201'!$D$23:$I$23</definedName>
    <definedName name="OSRRefD21_0_4x" localSheetId="42">'202'!$D$23:$I$23</definedName>
    <definedName name="OSRRefD21_0_4x" localSheetId="43">'203'!$D$23:$I$23</definedName>
    <definedName name="OSRRefD21_0_4x" localSheetId="44">'204'!$D$23:$I$23</definedName>
    <definedName name="OSRRefD21_0_4x" localSheetId="45">'205'!$D$23:$I$23</definedName>
    <definedName name="OSRRefD21_0_4x" localSheetId="46">'206'!$D$23:$I$23</definedName>
    <definedName name="OSRRefD21_0_4x" localSheetId="48">'300'!$D$57:$I$57</definedName>
    <definedName name="OSRRefD21_0_4x" localSheetId="49">'300 &amp; 317'!$D$63:$I$63</definedName>
    <definedName name="OSRRefD21_0_4x" localSheetId="50">'301'!$D$24:$I$24</definedName>
    <definedName name="OSRRefD21_0_4x" localSheetId="52">'307'!$D$37:$I$37</definedName>
    <definedName name="OSRRefD21_0_4x" localSheetId="53">'308'!$D$38:$I$38</definedName>
    <definedName name="OSRRefD21_0_4x" localSheetId="63">'310'!$D$30:$I$30</definedName>
    <definedName name="OSRRefD21_0_4x" localSheetId="71">'310 &amp; 491'!$D$32:$I$32</definedName>
    <definedName name="OSRRefD21_0_4x" localSheetId="54">'311'!$D$38:$I$38</definedName>
    <definedName name="OSRRefD21_0_4x" localSheetId="57">'315'!$D$47:$I$47</definedName>
    <definedName name="OSRRefD21_0_4x" localSheetId="60">'316'!$D$30:$I$30</definedName>
    <definedName name="OSRRefD21_0_4x" localSheetId="62">'317'!$D$38:$I$38</definedName>
    <definedName name="OSRRefD21_0_4x" localSheetId="66">'321'!$D$27:$I$27</definedName>
    <definedName name="OSRRefD21_0_4x" localSheetId="68">'325'!$D$28:$I$28</definedName>
    <definedName name="OSRRefD21_0_4x" localSheetId="58">'326'!$D$31:$I$31</definedName>
    <definedName name="OSRRefD21_0_4x" localSheetId="51">'330'!$D$37:$I$37</definedName>
    <definedName name="OSRRefD21_0_4x" localSheetId="56">'331'!$D$47:$I$47</definedName>
    <definedName name="OSRRefD21_0_4x" localSheetId="59">'332'!$D$30:$I$30</definedName>
    <definedName name="OSRRefD21_0_4x" localSheetId="73">'405'!$D$30:$I$30</definedName>
    <definedName name="OSRRefD21_0_4x" localSheetId="75">'411'!$D$23:$I$23</definedName>
    <definedName name="OSRRefD21_0_4x" localSheetId="79">'415'!$D$30:$I$30</definedName>
    <definedName name="OSRRefD21_0_4x" localSheetId="80">'418'!$D$27:$I$27</definedName>
    <definedName name="OSRRefD21_0_4x" localSheetId="81">'423'!$D$23:$I$23</definedName>
    <definedName name="OSRRefD21_0_4x" localSheetId="86">'430'!$D$23:$I$23</definedName>
    <definedName name="OSRRefD21_0_4x" localSheetId="87">'433'!$D$30:$I$30</definedName>
    <definedName name="OSRRefD21_0_4x" localSheetId="88">'444'!$D$30:$I$30</definedName>
    <definedName name="OSRRefD21_0_4x" localSheetId="89">'450'!$D$30:$I$30</definedName>
    <definedName name="OSRRefD21_0_4x" localSheetId="72">'491'!$D$31:$I$31</definedName>
    <definedName name="OSRRefD21_0_4x" localSheetId="85">'492'!$D$30:$I$30</definedName>
    <definedName name="OSRRefD21_0_4x" localSheetId="91">'501'!$D$24:$I$24</definedName>
    <definedName name="OSRRefD21_0_4x" localSheetId="39">'Div 2'!$D$23:$I$23</definedName>
    <definedName name="OSRRefD21_0_4x" localSheetId="47">'Div 3'!$D$61:$I$61</definedName>
    <definedName name="OSRRefD21_0_4x" localSheetId="70">'Div 4'!$D$32:$I$32</definedName>
    <definedName name="OSRRefD21_0_4x" localSheetId="90">'Div 5'!$D$24:$I$24</definedName>
    <definedName name="OSRRefD21_0_4x" localSheetId="61">'Div 6'!$D$38:$I$38</definedName>
    <definedName name="OSRRefD21_0_4x" localSheetId="2">Summary!$D$69:$I$69</definedName>
    <definedName name="OSRRefD21_0_5x" localSheetId="41">'201'!$D$24:$I$24</definedName>
    <definedName name="OSRRefD21_0_5x" localSheetId="42">'202'!$D$24:$I$24</definedName>
    <definedName name="OSRRefD21_0_5x" localSheetId="43">'203'!$D$24:$I$24</definedName>
    <definedName name="OSRRefD21_0_5x" localSheetId="44">'204'!$D$24:$I$24</definedName>
    <definedName name="OSRRefD21_0_5x" localSheetId="45">'205'!$D$24:$I$24</definedName>
    <definedName name="OSRRefD21_0_5x" localSheetId="46">'206'!$D$24:$I$24</definedName>
    <definedName name="OSRRefD21_0_5x" localSheetId="48">'300'!$D$58:$I$58</definedName>
    <definedName name="OSRRefD21_0_5x" localSheetId="49">'300 &amp; 317'!$D$64:$I$64</definedName>
    <definedName name="OSRRefD21_0_5x" localSheetId="50">'301'!$D$25:$I$25</definedName>
    <definedName name="OSRRefD21_0_5x" localSheetId="52">'307'!$D$38:$I$38</definedName>
    <definedName name="OSRRefD21_0_5x" localSheetId="53">'308'!$D$39:$I$39</definedName>
    <definedName name="OSRRefD21_0_5x" localSheetId="63">'310'!$D$31:$I$31</definedName>
    <definedName name="OSRRefD21_0_5x" localSheetId="71">'310 &amp; 491'!$D$33:$I$33</definedName>
    <definedName name="OSRRefD21_0_5x" localSheetId="54">'311'!$D$39:$I$39</definedName>
    <definedName name="OSRRefD21_0_5x" localSheetId="57">'315'!$D$48:$I$48</definedName>
    <definedName name="OSRRefD21_0_5x" localSheetId="60">'316'!$D$31:$I$31</definedName>
    <definedName name="OSRRefD21_0_5x" localSheetId="62">'317'!$D$39:$I$39</definedName>
    <definedName name="OSRRefD21_0_5x" localSheetId="66">'321'!$D$28:$I$28</definedName>
    <definedName name="OSRRefD21_0_5x" localSheetId="68">'325'!$D$29:$I$29</definedName>
    <definedName name="OSRRefD21_0_5x" localSheetId="58">'326'!$D$32:$I$32</definedName>
    <definedName name="OSRRefD21_0_5x" localSheetId="51">'330'!$D$38:$I$38</definedName>
    <definedName name="OSRRefD21_0_5x" localSheetId="56">'331'!$D$48:$I$48</definedName>
    <definedName name="OSRRefD21_0_5x" localSheetId="59">'332'!$D$31:$I$31</definedName>
    <definedName name="OSRRefD21_0_5x" localSheetId="73">'405'!$D$31:$I$31</definedName>
    <definedName name="OSRRefD21_0_5x" localSheetId="75">'411'!$D$24:$I$24</definedName>
    <definedName name="OSRRefD21_0_5x" localSheetId="79">'415'!$D$31:$I$31</definedName>
    <definedName name="OSRRefD21_0_5x" localSheetId="80">'418'!$D$28:$I$28</definedName>
    <definedName name="OSRRefD21_0_5x" localSheetId="81">'423'!$D$24:$I$24</definedName>
    <definedName name="OSRRefD21_0_5x" localSheetId="86">'430'!$D$24:$I$24</definedName>
    <definedName name="OSRRefD21_0_5x" localSheetId="87">'433'!$D$31:$I$31</definedName>
    <definedName name="OSRRefD21_0_5x" localSheetId="88">'444'!$D$31:$I$31</definedName>
    <definedName name="OSRRefD21_0_5x" localSheetId="89">'450'!$D$31:$I$31</definedName>
    <definedName name="OSRRefD21_0_5x" localSheetId="72">'491'!$D$32:$I$32</definedName>
    <definedName name="OSRRefD21_0_5x" localSheetId="85">'492'!$D$31:$I$31</definedName>
    <definedName name="OSRRefD21_0_5x" localSheetId="91">'501'!$D$25:$I$25</definedName>
    <definedName name="OSRRefD21_0_5x" localSheetId="39">'Div 2'!$D$24:$I$24</definedName>
    <definedName name="OSRRefD21_0_5x" localSheetId="47">'Div 3'!$D$62:$I$62</definedName>
    <definedName name="OSRRefD21_0_5x" localSheetId="70">'Div 4'!$D$33:$I$33</definedName>
    <definedName name="OSRRefD21_0_5x" localSheetId="90">'Div 5'!$D$25:$I$25</definedName>
    <definedName name="OSRRefD21_0_5x" localSheetId="61">'Div 6'!$D$39:$I$39</definedName>
    <definedName name="OSRRefD21_0_5x" localSheetId="2">Summary!$D$70:$I$70</definedName>
    <definedName name="OSRRefD21_0_6x" localSheetId="41">'201'!$D$25:$I$25</definedName>
    <definedName name="OSRRefD21_0_6x" localSheetId="42">'202'!$D$25:$I$25</definedName>
    <definedName name="OSRRefD21_0_6x" localSheetId="43">'203'!$D$25:$I$25</definedName>
    <definedName name="OSRRefD21_0_6x" localSheetId="44">'204'!$D$25:$I$25</definedName>
    <definedName name="OSRRefD21_0_6x" localSheetId="45">'205'!$D$25:$I$25</definedName>
    <definedName name="OSRRefD21_0_6x" localSheetId="46">'206'!$D$25:$I$25</definedName>
    <definedName name="OSRRefD21_0_6x" localSheetId="48">'300'!$D$59:$I$59</definedName>
    <definedName name="OSRRefD21_0_6x" localSheetId="49">'300 &amp; 317'!$D$65:$I$65</definedName>
    <definedName name="OSRRefD21_0_6x" localSheetId="50">'301'!$D$26:$I$26</definedName>
    <definedName name="OSRRefD21_0_6x" localSheetId="52">'307'!$D$39:$I$39</definedName>
    <definedName name="OSRRefD21_0_6x" localSheetId="53">'308'!$D$40:$I$40</definedName>
    <definedName name="OSRRefD21_0_6x" localSheetId="63">'310'!$D$32:$I$32</definedName>
    <definedName name="OSRRefD21_0_6x" localSheetId="71">'310 &amp; 491'!$D$34:$I$34</definedName>
    <definedName name="OSRRefD21_0_6x" localSheetId="54">'311'!$D$40:$I$40</definedName>
    <definedName name="OSRRefD21_0_6x" localSheetId="57">'315'!$D$49:$I$49</definedName>
    <definedName name="OSRRefD21_0_6x" localSheetId="60">'316'!$D$32:$I$32</definedName>
    <definedName name="OSRRefD21_0_6x" localSheetId="62">'317'!$D$40:$I$40</definedName>
    <definedName name="OSRRefD21_0_6x" localSheetId="66">'321'!$D$29:$I$29</definedName>
    <definedName name="OSRRefD21_0_6x" localSheetId="68">'325'!$D$30:$I$30</definedName>
    <definedName name="OSRRefD21_0_6x" localSheetId="58">'326'!$D$33:$I$33</definedName>
    <definedName name="OSRRefD21_0_6x" localSheetId="51">'330'!$D$39:$I$39</definedName>
    <definedName name="OSRRefD21_0_6x" localSheetId="56">'331'!$D$49:$I$49</definedName>
    <definedName name="OSRRefD21_0_6x" localSheetId="59">'332'!$D$32:$I$32</definedName>
    <definedName name="OSRRefD21_0_6x" localSheetId="73">'405'!$D$32:$I$32</definedName>
    <definedName name="OSRRefD21_0_6x" localSheetId="75">'411'!$D$25:$I$25</definedName>
    <definedName name="OSRRefD21_0_6x" localSheetId="79">'415'!$D$32:$I$32</definedName>
    <definedName name="OSRRefD21_0_6x" localSheetId="80">'418'!$D$29:$I$29</definedName>
    <definedName name="OSRRefD21_0_6x" localSheetId="81">'423'!$D$25:$I$25</definedName>
    <definedName name="OSRRefD21_0_6x" localSheetId="86">'430'!$D$25:$I$25</definedName>
    <definedName name="OSRRefD21_0_6x" localSheetId="87">'433'!$D$32:$I$32</definedName>
    <definedName name="OSRRefD21_0_6x" localSheetId="88">'444'!$D$32:$I$32</definedName>
    <definedName name="OSRRefD21_0_6x" localSheetId="89">'450'!$D$32:$I$32</definedName>
    <definedName name="OSRRefD21_0_6x" localSheetId="72">'491'!$D$33:$I$33</definedName>
    <definedName name="OSRRefD21_0_6x" localSheetId="85">'492'!$D$32:$I$32</definedName>
    <definedName name="OSRRefD21_0_6x" localSheetId="91">'501'!$D$26:$I$26</definedName>
    <definedName name="OSRRefD21_0_6x" localSheetId="39">'Div 2'!$D$25:$I$25</definedName>
    <definedName name="OSRRefD21_0_6x" localSheetId="47">'Div 3'!$D$63:$I$63</definedName>
    <definedName name="OSRRefD21_0_6x" localSheetId="70">'Div 4'!$D$34:$I$34</definedName>
    <definedName name="OSRRefD21_0_6x" localSheetId="90">'Div 5'!$D$26:$I$26</definedName>
    <definedName name="OSRRefD21_0_6x" localSheetId="61">'Div 6'!$D$40:$I$40</definedName>
    <definedName name="OSRRefD21_0_6x" localSheetId="2">Summary!$D$71:$I$71</definedName>
    <definedName name="OSRRefD21_0_7x" localSheetId="41">'201'!$D$26:$I$26</definedName>
    <definedName name="OSRRefD21_0_7x" localSheetId="42">'202'!$D$26:$I$26</definedName>
    <definedName name="OSRRefD21_0_7x" localSheetId="43">'203'!$D$26:$I$26</definedName>
    <definedName name="OSRRefD21_0_7x" localSheetId="44">'204'!$D$26:$I$26</definedName>
    <definedName name="OSRRefD21_0_7x" localSheetId="45">'205'!$D$26:$I$26</definedName>
    <definedName name="OSRRefD21_0_7x" localSheetId="46">'206'!$D$26:$I$26</definedName>
    <definedName name="OSRRefD21_0_7x" localSheetId="48">'300'!$D$60:$I$60</definedName>
    <definedName name="OSRRefD21_0_7x" localSheetId="49">'300 &amp; 317'!$D$66:$I$66</definedName>
    <definedName name="OSRRefD21_0_7x" localSheetId="50">'301'!$D$27:$I$27</definedName>
    <definedName name="OSRRefD21_0_7x" localSheetId="52">'307'!$D$40:$I$40</definedName>
    <definedName name="OSRRefD21_0_7x" localSheetId="53">'308'!$D$41:$I$41</definedName>
    <definedName name="OSRRefD21_0_7x" localSheetId="63">'310'!$D$33:$I$33</definedName>
    <definedName name="OSRRefD21_0_7x" localSheetId="71">'310 &amp; 491'!$D$35:$I$35</definedName>
    <definedName name="OSRRefD21_0_7x" localSheetId="54">'311'!$D$41:$I$41</definedName>
    <definedName name="OSRRefD21_0_7x" localSheetId="57">'315'!$D$50:$I$50</definedName>
    <definedName name="OSRRefD21_0_7x" localSheetId="60">'316'!$D$33:$I$33</definedName>
    <definedName name="OSRRefD21_0_7x" localSheetId="62">'317'!$D$41:$I$41</definedName>
    <definedName name="OSRRefD21_0_7x" localSheetId="66">'321'!$D$30:$I$30</definedName>
    <definedName name="OSRRefD21_0_7x" localSheetId="68">'325'!$D$31:$I$31</definedName>
    <definedName name="OSRRefD21_0_7x" localSheetId="58">'326'!$D$34:$I$34</definedName>
    <definedName name="OSRRefD21_0_7x" localSheetId="51">'330'!$D$40:$I$40</definedName>
    <definedName name="OSRRefD21_0_7x" localSheetId="56">'331'!$D$50:$I$50</definedName>
    <definedName name="OSRRefD21_0_7x" localSheetId="59">'332'!$D$33:$I$33</definedName>
    <definedName name="OSRRefD21_0_7x" localSheetId="73">'405'!$D$33:$I$33</definedName>
    <definedName name="OSRRefD21_0_7x" localSheetId="75">'411'!$D$26:$I$26</definedName>
    <definedName name="OSRRefD21_0_7x" localSheetId="79">'415'!$D$33:$I$33</definedName>
    <definedName name="OSRRefD21_0_7x" localSheetId="80">'418'!$D$30:$I$30</definedName>
    <definedName name="OSRRefD21_0_7x" localSheetId="81">'423'!$D$26:$I$26</definedName>
    <definedName name="OSRRefD21_0_7x" localSheetId="86">'430'!$D$26:$I$26</definedName>
    <definedName name="OSRRefD21_0_7x" localSheetId="87">'433'!$D$33:$I$33</definedName>
    <definedName name="OSRRefD21_0_7x" localSheetId="88">'444'!$D$33:$I$33</definedName>
    <definedName name="OSRRefD21_0_7x" localSheetId="89">'450'!$D$33:$I$33</definedName>
    <definedName name="OSRRefD21_0_7x" localSheetId="72">'491'!$D$34:$I$34</definedName>
    <definedName name="OSRRefD21_0_7x" localSheetId="85">'492'!$D$33:$I$33</definedName>
    <definedName name="OSRRefD21_0_7x" localSheetId="91">'501'!$D$27:$I$27</definedName>
    <definedName name="OSRRefD21_0_7x" localSheetId="39">'Div 2'!$D$26:$I$26</definedName>
    <definedName name="OSRRefD21_0_7x" localSheetId="47">'Div 3'!$D$64:$I$64</definedName>
    <definedName name="OSRRefD21_0_7x" localSheetId="70">'Div 4'!$D$35:$I$35</definedName>
    <definedName name="OSRRefD21_0_7x" localSheetId="90">'Div 5'!$D$27:$I$27</definedName>
    <definedName name="OSRRefD21_0_7x" localSheetId="61">'Div 6'!$D$41:$I$41</definedName>
    <definedName name="OSRRefD21_0_7x" localSheetId="2">Summary!$D$72:$I$72</definedName>
    <definedName name="OSRRefD21_0_8x" localSheetId="41">'201'!$D$27:$I$27</definedName>
    <definedName name="OSRRefD21_0_8x" localSheetId="42">'202'!$D$27:$I$27</definedName>
    <definedName name="OSRRefD21_0_8x" localSheetId="43">'203'!$D$27:$I$27</definedName>
    <definedName name="OSRRefD21_0_8x" localSheetId="44">'204'!$D$27:$I$27</definedName>
    <definedName name="OSRRefD21_0_8x" localSheetId="45">'205'!$D$27:$I$27</definedName>
    <definedName name="OSRRefD21_0_8x" localSheetId="46">'206'!$D$27:$I$27</definedName>
    <definedName name="OSRRefD21_0_8x" localSheetId="48">'300'!$D$61:$I$61</definedName>
    <definedName name="OSRRefD21_0_8x" localSheetId="49">'300 &amp; 317'!$D$67:$I$67</definedName>
    <definedName name="OSRRefD21_0_8x" localSheetId="50">'301'!$D$28:$I$28</definedName>
    <definedName name="OSRRefD21_0_8x" localSheetId="53">'308'!$D$42:$I$42</definedName>
    <definedName name="OSRRefD21_0_8x" localSheetId="63">'310'!$D$34:$I$34</definedName>
    <definedName name="OSRRefD21_0_8x" localSheetId="71">'310 &amp; 491'!$D$36:$I$36</definedName>
    <definedName name="OSRRefD21_0_8x" localSheetId="54">'311'!$D$42:$I$42</definedName>
    <definedName name="OSRRefD21_0_8x" localSheetId="57">'315'!$D$51:$I$51</definedName>
    <definedName name="OSRRefD21_0_8x" localSheetId="60">'316'!$D$34:$I$34</definedName>
    <definedName name="OSRRefD21_0_8x" localSheetId="62">'317'!$D$42:$I$42</definedName>
    <definedName name="OSRRefD21_0_8x" localSheetId="66">'321'!$D$31:$I$31</definedName>
    <definedName name="OSRRefD21_0_8x" localSheetId="68">'325'!$D$32:$I$32</definedName>
    <definedName name="OSRRefD21_0_8x" localSheetId="58">'326'!$D$35:$I$35</definedName>
    <definedName name="OSRRefD21_0_8x" localSheetId="56">'331'!$D$51:$I$51</definedName>
    <definedName name="OSRRefD21_0_8x" localSheetId="59">'332'!$D$34:$I$34</definedName>
    <definedName name="OSRRefD21_0_8x" localSheetId="73">'405'!$D$34:$I$34</definedName>
    <definedName name="OSRRefD21_0_8x" localSheetId="75">'411'!$D$27:$I$27</definedName>
    <definedName name="OSRRefD21_0_8x" localSheetId="79">'415'!$D$34:$I$34</definedName>
    <definedName name="OSRRefD21_0_8x" localSheetId="80">'418'!$D$31:$I$31</definedName>
    <definedName name="OSRRefD21_0_8x" localSheetId="86">'430'!$D$27:$I$27</definedName>
    <definedName name="OSRRefD21_0_8x" localSheetId="87">'433'!$D$34:$I$34</definedName>
    <definedName name="OSRRefD21_0_8x" localSheetId="88">'444'!$D$34:$I$34</definedName>
    <definedName name="OSRRefD21_0_8x" localSheetId="89">'450'!$D$34:$I$34</definedName>
    <definedName name="OSRRefD21_0_8x" localSheetId="72">'491'!$D$35:$I$35</definedName>
    <definedName name="OSRRefD21_0_8x" localSheetId="85">'492'!$D$34:$I$34</definedName>
    <definedName name="OSRRefD21_0_8x" localSheetId="91">'501'!$D$28:$I$28</definedName>
    <definedName name="OSRRefD21_0_8x" localSheetId="39">'Div 2'!$D$27:$I$27</definedName>
    <definedName name="OSRRefD21_0_8x" localSheetId="47">'Div 3'!$D$65:$I$65</definedName>
    <definedName name="OSRRefD21_0_8x" localSheetId="70">'Div 4'!$D$36:$I$36</definedName>
    <definedName name="OSRRefD21_0_8x" localSheetId="90">'Div 5'!$D$28:$I$28</definedName>
    <definedName name="OSRRefD21_0_8x" localSheetId="61">'Div 6'!$D$42:$I$42</definedName>
    <definedName name="OSRRefD21_0_8x" localSheetId="2">Summary!$D$73:$I$73</definedName>
    <definedName name="OSRRefD21_0_9x" localSheetId="43">'203'!$D$28:$I$28</definedName>
    <definedName name="OSRRefD21_0_9x" localSheetId="48">'300'!$D$62:$I$62</definedName>
    <definedName name="OSRRefD21_0_9x" localSheetId="49">'300 &amp; 317'!$D$68:$I$68</definedName>
    <definedName name="OSRRefD21_0_9x" localSheetId="50">'301'!$D$29:$I$29</definedName>
    <definedName name="OSRRefD21_0_9x" localSheetId="53">'308'!$D$43:$I$43</definedName>
    <definedName name="OSRRefD21_0_9x" localSheetId="54">'311'!$D$43:$I$43</definedName>
    <definedName name="OSRRefD21_0_9x" localSheetId="62">'317'!$D$43:$I$43</definedName>
    <definedName name="OSRRefD21_0_9x" localSheetId="87">'433'!$D$35:$I$35</definedName>
    <definedName name="OSRRefD21_0_9x" localSheetId="88">'444'!$D$35:$I$35</definedName>
    <definedName name="OSRRefD21_0_9x" localSheetId="89">'450'!$D$35:$I$35</definedName>
    <definedName name="OSRRefD21_0_9x" localSheetId="85">'492'!$D$35:$I$35</definedName>
    <definedName name="OSRRefD21_0_9x" localSheetId="91">'501'!$D$29:$I$29</definedName>
    <definedName name="OSRRefD21_0_9x" localSheetId="39">'Div 2'!$D$28:$I$28</definedName>
    <definedName name="OSRRefD21_0_9x" localSheetId="47">'Div 3'!$D$66:$I$66</definedName>
    <definedName name="OSRRefD21_0_9x" localSheetId="70">'Div 4'!$D$37:$I$37</definedName>
    <definedName name="OSRRefD21_0_9x" localSheetId="90">'Div 5'!$D$29:$I$29</definedName>
    <definedName name="OSRRefD21_0_9x" localSheetId="61">'Div 6'!$D$43:$I$43</definedName>
    <definedName name="OSRRefD21_0_9x" localSheetId="2">Summary!$D$74:$I$74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2">'307'!$D$33:$D$40</definedName>
    <definedName name="OSRRefD21_0x_0" localSheetId="53">'308'!$D$34:$D$43</definedName>
    <definedName name="OSRRefD21_0x_0" localSheetId="64">'309'!$D$19</definedName>
    <definedName name="OSRRefD21_0x_0" localSheetId="63">'310'!$D$26:$D$34</definedName>
    <definedName name="OSRRefD21_0x_0" localSheetId="71">'310 &amp; 491'!$D$28:$D$36</definedName>
    <definedName name="OSRRefD21_0x_0" localSheetId="54">'311'!$D$34:$D$43</definedName>
    <definedName name="OSRRefD21_0x_0" localSheetId="65">'313'!$D$19</definedName>
    <definedName name="OSRRefD21_0x_0" localSheetId="57">'315'!$D$43:$D$51</definedName>
    <definedName name="OSRRefD21_0x_0" localSheetId="60">'316'!$D$26:$D$34</definedName>
    <definedName name="OSRRefD21_0x_0" localSheetId="62">'317'!$D$34:$D$43</definedName>
    <definedName name="OSRRefD21_0x_0" localSheetId="66">'321'!$D$23:$D$31</definedName>
    <definedName name="OSRRefD21_0x_0" localSheetId="67">'322'!$D$19</definedName>
    <definedName name="OSRRefD21_0x_0" localSheetId="68">'325'!$D$24:$D$32</definedName>
    <definedName name="OSRRefD21_0x_0" localSheetId="58">'326'!$D$27:$D$35</definedName>
    <definedName name="OSRRefD21_0x_0" localSheetId="69">'327'!$D$25</definedName>
    <definedName name="OSRRefD21_0x_0" localSheetId="51">'330'!$D$33:$D$40</definedName>
    <definedName name="OSRRefD21_0x_0" localSheetId="56">'331'!$D$43:$D$51</definedName>
    <definedName name="OSRRefD21_0x_0" localSheetId="59">'332'!$D$26:$D$34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'415'!$D$26:$D$34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4">'425'!$D$21</definedName>
    <definedName name="OSRRefD21_0x_0" localSheetId="86">'430'!$D$19:$D$27</definedName>
    <definedName name="OSRRefD21_0x_0" localSheetId="87">'433'!$D$26:$D$35</definedName>
    <definedName name="OSRRefD21_0x_0" localSheetId="88">'444'!$D$26:$D$35</definedName>
    <definedName name="OSRRefD21_0x_0" localSheetId="89">'450'!$D$26:$D$35</definedName>
    <definedName name="OSRRefD21_0x_0" localSheetId="72">'491'!$D$27:$D$35</definedName>
    <definedName name="OSRRefD21_0x_0" localSheetId="85">'492'!$D$26:$D$35</definedName>
    <definedName name="OSRRefD21_0x_0" localSheetId="91">'501'!$D$20:$D$29</definedName>
    <definedName name="OSRRefD21_0x_0" localSheetId="39">'Div 2'!$D$19:$D$29</definedName>
    <definedName name="OSRRefD21_0x_0" localSheetId="47">'Div 3'!$D$57:$D$66</definedName>
    <definedName name="OSRRefD21_0x_0" localSheetId="70">'Div 4'!$D$28:$D$37</definedName>
    <definedName name="OSRRefD21_0x_0" localSheetId="90">'Div 5'!$D$20:$D$29</definedName>
    <definedName name="OSRRefD21_0x_0" localSheetId="61">'Div 6'!$D$34:$D$43</definedName>
    <definedName name="OSRRefD21_0x_0" localSheetId="2">Summary!$D$65:$D$74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2">'307'!$E$33:$E$40</definedName>
    <definedName name="OSRRefD21_0x_1" localSheetId="53">'308'!$E$34:$E$43</definedName>
    <definedName name="OSRRefD21_0x_1" localSheetId="64">'309'!$E$19</definedName>
    <definedName name="OSRRefD21_0x_1" localSheetId="63">'310'!$E$26:$E$34</definedName>
    <definedName name="OSRRefD21_0x_1" localSheetId="71">'310 &amp; 491'!$E$28:$E$36</definedName>
    <definedName name="OSRRefD21_0x_1" localSheetId="54">'311'!$E$34:$E$43</definedName>
    <definedName name="OSRRefD21_0x_1" localSheetId="65">'313'!$E$19</definedName>
    <definedName name="OSRRefD21_0x_1" localSheetId="57">'315'!$E$43:$E$51</definedName>
    <definedName name="OSRRefD21_0x_1" localSheetId="60">'316'!$E$26:$E$34</definedName>
    <definedName name="OSRRefD21_0x_1" localSheetId="62">'317'!$E$34:$E$43</definedName>
    <definedName name="OSRRefD21_0x_1" localSheetId="66">'321'!$E$23:$E$31</definedName>
    <definedName name="OSRRefD21_0x_1" localSheetId="67">'322'!$E$19</definedName>
    <definedName name="OSRRefD21_0x_1" localSheetId="68">'325'!$E$24:$E$32</definedName>
    <definedName name="OSRRefD21_0x_1" localSheetId="58">'326'!$E$27:$E$35</definedName>
    <definedName name="OSRRefD21_0x_1" localSheetId="69">'327'!$E$25</definedName>
    <definedName name="OSRRefD21_0x_1" localSheetId="51">'330'!$E$33:$E$40</definedName>
    <definedName name="OSRRefD21_0x_1" localSheetId="56">'331'!$E$43:$E$51</definedName>
    <definedName name="OSRRefD21_0x_1" localSheetId="59">'332'!$E$26:$E$34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'415'!$E$26:$E$34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4">'425'!$E$21</definedName>
    <definedName name="OSRRefD21_0x_1" localSheetId="86">'430'!$E$19:$E$27</definedName>
    <definedName name="OSRRefD21_0x_1" localSheetId="87">'433'!$E$26:$E$35</definedName>
    <definedName name="OSRRefD21_0x_1" localSheetId="88">'444'!$E$26:$E$35</definedName>
    <definedName name="OSRRefD21_0x_1" localSheetId="89">'450'!$E$26:$E$35</definedName>
    <definedName name="OSRRefD21_0x_1" localSheetId="72">'491'!$E$27:$E$35</definedName>
    <definedName name="OSRRefD21_0x_1" localSheetId="85">'492'!$E$26:$E$35</definedName>
    <definedName name="OSRRefD21_0x_1" localSheetId="91">'501'!$E$20:$E$29</definedName>
    <definedName name="OSRRefD21_0x_1" localSheetId="39">'Div 2'!$E$19:$E$29</definedName>
    <definedName name="OSRRefD21_0x_1" localSheetId="47">'Div 3'!$E$57:$E$66</definedName>
    <definedName name="OSRRefD21_0x_1" localSheetId="70">'Div 4'!$E$28:$E$37</definedName>
    <definedName name="OSRRefD21_0x_1" localSheetId="90">'Div 5'!$E$20:$E$29</definedName>
    <definedName name="OSRRefD21_0x_1" localSheetId="61">'Div 6'!$E$34:$E$43</definedName>
    <definedName name="OSRRefD21_0x_1" localSheetId="2">Summary!$E$65:$E$74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2">'307'!$F$33:$F$40</definedName>
    <definedName name="OSRRefD21_0x_2" localSheetId="53">'308'!$F$34:$F$43</definedName>
    <definedName name="OSRRefD21_0x_2" localSheetId="64">'309'!$F$19</definedName>
    <definedName name="OSRRefD21_0x_2" localSheetId="63">'310'!$F$26:$F$34</definedName>
    <definedName name="OSRRefD21_0x_2" localSheetId="71">'310 &amp; 491'!$F$28:$F$36</definedName>
    <definedName name="OSRRefD21_0x_2" localSheetId="54">'311'!$F$34:$F$43</definedName>
    <definedName name="OSRRefD21_0x_2" localSheetId="65">'313'!$F$19</definedName>
    <definedName name="OSRRefD21_0x_2" localSheetId="57">'315'!$F$43:$F$51</definedName>
    <definedName name="OSRRefD21_0x_2" localSheetId="60">'316'!$F$26:$F$34</definedName>
    <definedName name="OSRRefD21_0x_2" localSheetId="62">'317'!$F$34:$F$43</definedName>
    <definedName name="OSRRefD21_0x_2" localSheetId="66">'321'!$F$23:$F$31</definedName>
    <definedName name="OSRRefD21_0x_2" localSheetId="67">'322'!$F$19</definedName>
    <definedName name="OSRRefD21_0x_2" localSheetId="68">'325'!$F$24:$F$32</definedName>
    <definedName name="OSRRefD21_0x_2" localSheetId="58">'326'!$F$27:$F$35</definedName>
    <definedName name="OSRRefD21_0x_2" localSheetId="69">'327'!$F$25</definedName>
    <definedName name="OSRRefD21_0x_2" localSheetId="51">'330'!$F$33:$F$40</definedName>
    <definedName name="OSRRefD21_0x_2" localSheetId="56">'331'!$F$43:$F$51</definedName>
    <definedName name="OSRRefD21_0x_2" localSheetId="59">'332'!$F$26:$F$34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'415'!$F$26:$F$34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4">'425'!$F$21</definedName>
    <definedName name="OSRRefD21_0x_2" localSheetId="86">'430'!$F$19:$F$27</definedName>
    <definedName name="OSRRefD21_0x_2" localSheetId="87">'433'!$F$26:$F$35</definedName>
    <definedName name="OSRRefD21_0x_2" localSheetId="88">'444'!$F$26:$F$35</definedName>
    <definedName name="OSRRefD21_0x_2" localSheetId="89">'450'!$F$26:$F$35</definedName>
    <definedName name="OSRRefD21_0x_2" localSheetId="72">'491'!$F$27:$F$35</definedName>
    <definedName name="OSRRefD21_0x_2" localSheetId="85">'492'!$F$26:$F$35</definedName>
    <definedName name="OSRRefD21_0x_2" localSheetId="91">'501'!$F$20:$F$29</definedName>
    <definedName name="OSRRefD21_0x_2" localSheetId="39">'Div 2'!$F$19:$F$29</definedName>
    <definedName name="OSRRefD21_0x_2" localSheetId="47">'Div 3'!$F$57:$F$66</definedName>
    <definedName name="OSRRefD21_0x_2" localSheetId="70">'Div 4'!$F$28:$F$37</definedName>
    <definedName name="OSRRefD21_0x_2" localSheetId="90">'Div 5'!$F$20:$F$29</definedName>
    <definedName name="OSRRefD21_0x_2" localSheetId="61">'Div 6'!$F$34:$F$43</definedName>
    <definedName name="OSRRefD21_0x_2" localSheetId="2">Summary!$F$65:$F$74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'204'!$G$19:$G$27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2">'307'!$G$33:$G$40</definedName>
    <definedName name="OSRRefD21_0x_3" localSheetId="53">'308'!$G$34:$G$43</definedName>
    <definedName name="OSRRefD21_0x_3" localSheetId="64">'309'!$G$19</definedName>
    <definedName name="OSRRefD21_0x_3" localSheetId="63">'310'!$G$26:$G$34</definedName>
    <definedName name="OSRRefD21_0x_3" localSheetId="71">'310 &amp; 491'!$G$28:$G$36</definedName>
    <definedName name="OSRRefD21_0x_3" localSheetId="54">'311'!$G$34:$G$43</definedName>
    <definedName name="OSRRefD21_0x_3" localSheetId="65">'313'!$G$19</definedName>
    <definedName name="OSRRefD21_0x_3" localSheetId="57">'315'!$G$43:$G$51</definedName>
    <definedName name="OSRRefD21_0x_3" localSheetId="60">'316'!$G$26:$G$34</definedName>
    <definedName name="OSRRefD21_0x_3" localSheetId="62">'317'!$G$34:$G$43</definedName>
    <definedName name="OSRRefD21_0x_3" localSheetId="66">'321'!$G$23:$G$31</definedName>
    <definedName name="OSRRefD21_0x_3" localSheetId="67">'322'!$G$19</definedName>
    <definedName name="OSRRefD21_0x_3" localSheetId="68">'325'!$G$24:$G$32</definedName>
    <definedName name="OSRRefD21_0x_3" localSheetId="58">'326'!$G$27:$G$35</definedName>
    <definedName name="OSRRefD21_0x_3" localSheetId="69">'327'!$G$25</definedName>
    <definedName name="OSRRefD21_0x_3" localSheetId="51">'330'!$G$33:$G$40</definedName>
    <definedName name="OSRRefD21_0x_3" localSheetId="56">'331'!$G$43:$G$51</definedName>
    <definedName name="OSRRefD21_0x_3" localSheetId="59">'332'!$G$26:$G$34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'415'!$G$26:$G$34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4">'425'!$G$21</definedName>
    <definedName name="OSRRefD21_0x_3" localSheetId="86">'430'!$G$19:$G$27</definedName>
    <definedName name="OSRRefD21_0x_3" localSheetId="87">'433'!$G$26:$G$35</definedName>
    <definedName name="OSRRefD21_0x_3" localSheetId="88">'444'!$G$26:$G$35</definedName>
    <definedName name="OSRRefD21_0x_3" localSheetId="89">'450'!$G$26:$G$35</definedName>
    <definedName name="OSRRefD21_0x_3" localSheetId="72">'491'!$G$27:$G$35</definedName>
    <definedName name="OSRRefD21_0x_3" localSheetId="85">'492'!$G$26:$G$35</definedName>
    <definedName name="OSRRefD21_0x_3" localSheetId="91">'501'!$G$20:$G$29</definedName>
    <definedName name="OSRRefD21_0x_3" localSheetId="39">'Div 2'!$G$19:$G$29</definedName>
    <definedName name="OSRRefD21_0x_3" localSheetId="47">'Div 3'!$G$57:$G$66</definedName>
    <definedName name="OSRRefD21_0x_3" localSheetId="70">'Div 4'!$G$28:$G$37</definedName>
    <definedName name="OSRRefD21_0x_3" localSheetId="90">'Div 5'!$G$20:$G$29</definedName>
    <definedName name="OSRRefD21_0x_3" localSheetId="61">'Div 6'!$G$34:$G$43</definedName>
    <definedName name="OSRRefD21_0x_3" localSheetId="2">Summary!$G$65:$G$74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'204'!$H$19:$H$27</definedName>
    <definedName name="OSRRefD21_0x_4" localSheetId="45">'205'!$H$19:$H$27</definedName>
    <definedName name="OSRRefD21_0x_4" localSheetId="46">'206'!$H$19:$H$27</definedName>
    <definedName name="OSRRefD21_0x_4" localSheetId="48">'300'!$H$53:$H$62</definedName>
    <definedName name="OSRRefD21_0x_4" localSheetId="49">'300 &amp; 317'!$H$59:$H$68</definedName>
    <definedName name="OSRRefD21_0x_4" localSheetId="50">'301'!$H$20:$H$29</definedName>
    <definedName name="OSRRefD21_0x_4" localSheetId="52">'307'!$H$33:$H$40</definedName>
    <definedName name="OSRRefD21_0x_4" localSheetId="53">'308'!$H$34:$H$43</definedName>
    <definedName name="OSRRefD21_0x_4" localSheetId="64">'309'!$H$19</definedName>
    <definedName name="OSRRefD21_0x_4" localSheetId="63">'310'!$H$26:$H$34</definedName>
    <definedName name="OSRRefD21_0x_4" localSheetId="71">'310 &amp; 491'!$H$28:$H$36</definedName>
    <definedName name="OSRRefD21_0x_4" localSheetId="54">'311'!$H$34:$H$43</definedName>
    <definedName name="OSRRefD21_0x_4" localSheetId="65">'313'!$H$19</definedName>
    <definedName name="OSRRefD21_0x_4" localSheetId="57">'315'!$H$43:$H$51</definedName>
    <definedName name="OSRRefD21_0x_4" localSheetId="60">'316'!$H$26:$H$34</definedName>
    <definedName name="OSRRefD21_0x_4" localSheetId="62">'317'!$H$34:$H$43</definedName>
    <definedName name="OSRRefD21_0x_4" localSheetId="66">'321'!$H$23:$H$31</definedName>
    <definedName name="OSRRefD21_0x_4" localSheetId="67">'322'!$H$19</definedName>
    <definedName name="OSRRefD21_0x_4" localSheetId="68">'325'!$H$24:$H$32</definedName>
    <definedName name="OSRRefD21_0x_4" localSheetId="58">'326'!$H$27:$H$35</definedName>
    <definedName name="OSRRefD21_0x_4" localSheetId="69">'327'!$H$25</definedName>
    <definedName name="OSRRefD21_0x_4" localSheetId="51">'330'!$H$33:$H$40</definedName>
    <definedName name="OSRRefD21_0x_4" localSheetId="56">'331'!$H$43:$H$51</definedName>
    <definedName name="OSRRefD21_0x_4" localSheetId="59">'332'!$H$26:$H$34</definedName>
    <definedName name="OSRRefD21_0x_4" localSheetId="73">'405'!$H$26:$H$34</definedName>
    <definedName name="OSRRefD21_0x_4" localSheetId="74">'406'!$H$19</definedName>
    <definedName name="OSRRefD21_0x_4" localSheetId="75">'411'!$H$19:$H$27</definedName>
    <definedName name="OSRRefD21_0x_4" localSheetId="76">'412'!$H$19</definedName>
    <definedName name="OSRRefD21_0x_4" localSheetId="77">'413'!$H$19</definedName>
    <definedName name="OSRRefD21_0x_4" localSheetId="78">'414'!$H$19</definedName>
    <definedName name="OSRRefD21_0x_4" localSheetId="79">'415'!$H$26:$H$34</definedName>
    <definedName name="OSRRefD21_0x_4" localSheetId="80">'418'!$H$23:$H$31</definedName>
    <definedName name="OSRRefD21_0x_4" localSheetId="81">'423'!$H$19:$H$26</definedName>
    <definedName name="OSRRefD21_0x_4" localSheetId="82">'424'!$H$19</definedName>
    <definedName name="OSRRefD21_0x_4" localSheetId="84">'425'!$H$21</definedName>
    <definedName name="OSRRefD21_0x_4" localSheetId="86">'430'!$H$19:$H$27</definedName>
    <definedName name="OSRRefD21_0x_4" localSheetId="87">'433'!$H$26:$H$35</definedName>
    <definedName name="OSRRefD21_0x_4" localSheetId="88">'444'!$H$26:$H$35</definedName>
    <definedName name="OSRRefD21_0x_4" localSheetId="89">'450'!$H$26:$H$35</definedName>
    <definedName name="OSRRefD21_0x_4" localSheetId="72">'491'!$H$27:$H$35</definedName>
    <definedName name="OSRRefD21_0x_4" localSheetId="85">'492'!$H$26:$H$35</definedName>
    <definedName name="OSRRefD21_0x_4" localSheetId="91">'501'!$H$20:$H$29</definedName>
    <definedName name="OSRRefD21_0x_4" localSheetId="39">'Div 2'!$H$19:$H$29</definedName>
    <definedName name="OSRRefD21_0x_4" localSheetId="47">'Div 3'!$H$57:$H$66</definedName>
    <definedName name="OSRRefD21_0x_4" localSheetId="70">'Div 4'!$H$28:$H$37</definedName>
    <definedName name="OSRRefD21_0x_4" localSheetId="90">'Div 5'!$H$20:$H$29</definedName>
    <definedName name="OSRRefD21_0x_4" localSheetId="61">'Div 6'!$H$34:$H$43</definedName>
    <definedName name="OSRRefD21_0x_4" localSheetId="2">Summary!$H$65:$H$74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'204'!$I$19:$I$27</definedName>
    <definedName name="OSRRefD21_0x_5" localSheetId="45">'205'!$I$19:$I$27</definedName>
    <definedName name="OSRRefD21_0x_5" localSheetId="46">'206'!$I$19:$I$27</definedName>
    <definedName name="OSRRefD21_0x_5" localSheetId="48">'300'!$I$53:$I$62</definedName>
    <definedName name="OSRRefD21_0x_5" localSheetId="49">'300 &amp; 317'!$I$59:$I$68</definedName>
    <definedName name="OSRRefD21_0x_5" localSheetId="50">'301'!$I$20:$I$29</definedName>
    <definedName name="OSRRefD21_0x_5" localSheetId="52">'307'!$I$33:$I$40</definedName>
    <definedName name="OSRRefD21_0x_5" localSheetId="53">'308'!$I$34:$I$43</definedName>
    <definedName name="OSRRefD21_0x_5" localSheetId="64">'309'!$I$19</definedName>
    <definedName name="OSRRefD21_0x_5" localSheetId="63">'310'!$I$26:$I$34</definedName>
    <definedName name="OSRRefD21_0x_5" localSheetId="71">'310 &amp; 491'!$I$28:$I$36</definedName>
    <definedName name="OSRRefD21_0x_5" localSheetId="54">'311'!$I$34:$I$43</definedName>
    <definedName name="OSRRefD21_0x_5" localSheetId="65">'313'!$I$19</definedName>
    <definedName name="OSRRefD21_0x_5" localSheetId="57">'315'!$I$43:$I$51</definedName>
    <definedName name="OSRRefD21_0x_5" localSheetId="60">'316'!$I$26:$I$34</definedName>
    <definedName name="OSRRefD21_0x_5" localSheetId="62">'317'!$I$34:$I$43</definedName>
    <definedName name="OSRRefD21_0x_5" localSheetId="66">'321'!$I$23:$I$31</definedName>
    <definedName name="OSRRefD21_0x_5" localSheetId="67">'322'!$I$19</definedName>
    <definedName name="OSRRefD21_0x_5" localSheetId="68">'325'!$I$24:$I$32</definedName>
    <definedName name="OSRRefD21_0x_5" localSheetId="58">'326'!$I$27:$I$35</definedName>
    <definedName name="OSRRefD21_0x_5" localSheetId="69">'327'!$I$25</definedName>
    <definedName name="OSRRefD21_0x_5" localSheetId="51">'330'!$I$33:$I$40</definedName>
    <definedName name="OSRRefD21_0x_5" localSheetId="56">'331'!$I$43:$I$51</definedName>
    <definedName name="OSRRefD21_0x_5" localSheetId="59">'332'!$I$26:$I$34</definedName>
    <definedName name="OSRRefD21_0x_5" localSheetId="73">'405'!$I$26:$I$34</definedName>
    <definedName name="OSRRefD21_0x_5" localSheetId="74">'406'!$I$19</definedName>
    <definedName name="OSRRefD21_0x_5" localSheetId="75">'411'!$I$19:$I$27</definedName>
    <definedName name="OSRRefD21_0x_5" localSheetId="76">'412'!$I$19</definedName>
    <definedName name="OSRRefD21_0x_5" localSheetId="77">'413'!$I$19</definedName>
    <definedName name="OSRRefD21_0x_5" localSheetId="78">'414'!$I$19</definedName>
    <definedName name="OSRRefD21_0x_5" localSheetId="79">'415'!$I$26:$I$34</definedName>
    <definedName name="OSRRefD21_0x_5" localSheetId="80">'418'!$I$23:$I$31</definedName>
    <definedName name="OSRRefD21_0x_5" localSheetId="81">'423'!$I$19:$I$26</definedName>
    <definedName name="OSRRefD21_0x_5" localSheetId="82">'424'!$I$19</definedName>
    <definedName name="OSRRefD21_0x_5" localSheetId="84">'425'!$I$21</definedName>
    <definedName name="OSRRefD21_0x_5" localSheetId="86">'430'!$I$19:$I$27</definedName>
    <definedName name="OSRRefD21_0x_5" localSheetId="87">'433'!$I$26:$I$35</definedName>
    <definedName name="OSRRefD21_0x_5" localSheetId="88">'444'!$I$26:$I$35</definedName>
    <definedName name="OSRRefD21_0x_5" localSheetId="89">'450'!$I$26:$I$35</definedName>
    <definedName name="OSRRefD21_0x_5" localSheetId="72">'491'!$I$27:$I$35</definedName>
    <definedName name="OSRRefD21_0x_5" localSheetId="85">'492'!$I$26:$I$35</definedName>
    <definedName name="OSRRefD21_0x_5" localSheetId="91">'501'!$I$20:$I$29</definedName>
    <definedName name="OSRRefD21_0x_5" localSheetId="39">'Div 2'!$I$19:$I$29</definedName>
    <definedName name="OSRRefD21_0x_5" localSheetId="47">'Div 3'!$I$57:$I$66</definedName>
    <definedName name="OSRRefD21_0x_5" localSheetId="70">'Div 4'!$I$28:$I$37</definedName>
    <definedName name="OSRRefD21_0x_5" localSheetId="90">'Div 5'!$I$20:$I$29</definedName>
    <definedName name="OSRRefD21_0x_5" localSheetId="61">'Div 6'!$I$34:$I$43</definedName>
    <definedName name="OSRRefD21_0x_5" localSheetId="2">Summary!$I$65:$I$74</definedName>
    <definedName name="OSRRefD21_1_0x" localSheetId="40">'200'!$D$21:$I$21</definedName>
    <definedName name="OSRRefD21_1_0x" localSheetId="41">'201'!$D$29:$I$29</definedName>
    <definedName name="OSRRefD21_1_0x" localSheetId="42">'202'!$D$29:$I$29</definedName>
    <definedName name="OSRRefD21_1_0x" localSheetId="43">'203'!$D$30:$I$30</definedName>
    <definedName name="OSRRefD21_1_0x" localSheetId="44">'204'!$D$29:$I$29</definedName>
    <definedName name="OSRRefD21_1_0x" localSheetId="45">'205'!$D$29:$I$29</definedName>
    <definedName name="OSRRefD21_1_0x" localSheetId="46">'206'!$D$29:$I$29</definedName>
    <definedName name="OSRRefD21_1_0x" localSheetId="48">'300'!$D$64:$I$64</definedName>
    <definedName name="OSRRefD21_1_0x" localSheetId="49">'300 &amp; 317'!$D$70:$I$70</definedName>
    <definedName name="OSRRefD21_1_0x" localSheetId="50">'301'!$D$31:$I$31</definedName>
    <definedName name="OSRRefD21_1_0x" localSheetId="52">'307'!$D$42:$I$42</definedName>
    <definedName name="OSRRefD21_1_0x" localSheetId="53">'308'!$D$45:$I$45</definedName>
    <definedName name="OSRRefD21_1_0x" localSheetId="64">'309'!$D$21:$I$21</definedName>
    <definedName name="OSRRefD21_1_0x" localSheetId="63">'310'!$D$36:$I$36</definedName>
    <definedName name="OSRRefD21_1_0x" localSheetId="71">'310 &amp; 491'!$D$38:$I$38</definedName>
    <definedName name="OSRRefD21_1_0x" localSheetId="54">'311'!$D$45:$I$45</definedName>
    <definedName name="OSRRefD21_1_0x" localSheetId="65">'313'!$D$21:$I$21</definedName>
    <definedName name="OSRRefD21_1_0x" localSheetId="57">'315'!$D$53:$I$53</definedName>
    <definedName name="OSRRefD21_1_0x" localSheetId="60">'316'!$D$36:$I$36</definedName>
    <definedName name="OSRRefD21_1_0x" localSheetId="62">'317'!$D$45:$I$45</definedName>
    <definedName name="OSRRefD21_1_0x" localSheetId="66">'321'!$D$33:$I$33</definedName>
    <definedName name="OSRRefD21_1_0x" localSheetId="68">'325'!$D$34:$I$34</definedName>
    <definedName name="OSRRefD21_1_0x" localSheetId="58">'326'!$D$37:$I$37</definedName>
    <definedName name="OSRRefD21_1_0x" localSheetId="51">'330'!$D$42:$I$42</definedName>
    <definedName name="OSRRefD21_1_0x" localSheetId="56">'331'!$D$53:$I$53</definedName>
    <definedName name="OSRRefD21_1_0x" localSheetId="59">'332'!$D$36:$I$36</definedName>
    <definedName name="OSRRefD21_1_0x" localSheetId="73">'405'!$D$36:$I$36</definedName>
    <definedName name="OSRRefD21_1_0x" localSheetId="75">'411'!$D$29:$I$29</definedName>
    <definedName name="OSRRefD21_1_0x" localSheetId="76">'412'!$D$21:$I$21</definedName>
    <definedName name="OSRRefD21_1_0x" localSheetId="77">'413'!$D$21:$I$21</definedName>
    <definedName name="OSRRefD21_1_0x" localSheetId="78">'414'!$D$21:$I$21</definedName>
    <definedName name="OSRRefD21_1_0x" localSheetId="79">'415'!$D$36:$I$36</definedName>
    <definedName name="OSRRefD21_1_0x" localSheetId="80">'418'!$D$33:$I$33</definedName>
    <definedName name="OSRRefD21_1_0x" localSheetId="81">'423'!$D$28:$I$28</definedName>
    <definedName name="OSRRefD21_1_0x" localSheetId="82">'424'!$D$21:$I$21</definedName>
    <definedName name="OSRRefD21_1_0x" localSheetId="84">'425'!$D$23:$I$23</definedName>
    <definedName name="OSRRefD21_1_0x" localSheetId="86">'430'!$D$29:$I$29</definedName>
    <definedName name="OSRRefD21_1_0x" localSheetId="87">'433'!$D$37:$I$37</definedName>
    <definedName name="OSRRefD21_1_0x" localSheetId="88">'444'!$D$37:$I$37</definedName>
    <definedName name="OSRRefD21_1_0x" localSheetId="89">'450'!$D$37:$I$37</definedName>
    <definedName name="OSRRefD21_1_0x" localSheetId="72">'491'!$D$37:$I$37</definedName>
    <definedName name="OSRRefD21_1_0x" localSheetId="85">'492'!$D$37:$I$37</definedName>
    <definedName name="OSRRefD21_1_0x" localSheetId="91">'501'!$D$31:$I$31</definedName>
    <definedName name="OSRRefD21_1_0x" localSheetId="39">'Div 2'!$D$31:$I$31</definedName>
    <definedName name="OSRRefD21_1_0x" localSheetId="47">'Div 3'!$D$68:$I$68</definedName>
    <definedName name="OSRRefD21_1_0x" localSheetId="70">'Div 4'!$D$39:$I$39</definedName>
    <definedName name="OSRRefD21_1_0x" localSheetId="90">'Div 5'!$D$31:$I$31</definedName>
    <definedName name="OSRRefD21_1_0x" localSheetId="61">'Div 6'!$D$45:$I$45</definedName>
    <definedName name="OSRRefD21_1_0x" localSheetId="2">Summary!$D$76:$I$76</definedName>
    <definedName name="OSRRefD21_1_1x" localSheetId="41">'201'!$D$30:$I$30</definedName>
    <definedName name="OSRRefD21_1_1x" localSheetId="42">'202'!$D$30:$I$30</definedName>
    <definedName name="OSRRefD21_1_1x" localSheetId="43">'203'!$D$31:$I$31</definedName>
    <definedName name="OSRRefD21_1_1x" localSheetId="44">'204'!$D$30:$I$30</definedName>
    <definedName name="OSRRefD21_1_1x" localSheetId="45">'205'!$D$30:$I$30</definedName>
    <definedName name="OSRRefD21_1_1x" localSheetId="46">'206'!$D$30:$I$30</definedName>
    <definedName name="OSRRefD21_1_1x" localSheetId="48">'300'!$D$65:$I$65</definedName>
    <definedName name="OSRRefD21_1_1x" localSheetId="49">'300 &amp; 317'!$D$71:$I$71</definedName>
    <definedName name="OSRRefD21_1_1x" localSheetId="50">'301'!$D$32:$I$32</definedName>
    <definedName name="OSRRefD21_1_1x" localSheetId="52">'307'!$D$43:$I$43</definedName>
    <definedName name="OSRRefD21_1_1x" localSheetId="53">'308'!$D$46:$I$46</definedName>
    <definedName name="OSRRefD21_1_1x" localSheetId="63">'310'!$D$37:$I$37</definedName>
    <definedName name="OSRRefD21_1_1x" localSheetId="71">'310 &amp; 491'!$D$39:$I$39</definedName>
    <definedName name="OSRRefD21_1_1x" localSheetId="54">'311'!$D$46:$I$46</definedName>
    <definedName name="OSRRefD21_1_1x" localSheetId="57">'315'!$D$54:$I$54</definedName>
    <definedName name="OSRRefD21_1_1x" localSheetId="60">'316'!$D$37:$I$37</definedName>
    <definedName name="OSRRefD21_1_1x" localSheetId="62">'317'!$D$46:$I$46</definedName>
    <definedName name="OSRRefD21_1_1x" localSheetId="66">'321'!$D$34:$I$34</definedName>
    <definedName name="OSRRefD21_1_1x" localSheetId="68">'325'!$D$35:$I$35</definedName>
    <definedName name="OSRRefD21_1_1x" localSheetId="58">'326'!$D$38:$I$38</definedName>
    <definedName name="OSRRefD21_1_1x" localSheetId="51">'330'!$D$43:$I$43</definedName>
    <definedName name="OSRRefD21_1_1x" localSheetId="56">'331'!$D$54:$I$54</definedName>
    <definedName name="OSRRefD21_1_1x" localSheetId="59">'332'!$D$37:$I$37</definedName>
    <definedName name="OSRRefD21_1_1x" localSheetId="73">'405'!$D$37:$I$37</definedName>
    <definedName name="OSRRefD21_1_1x" localSheetId="75">'411'!$D$30:$I$30</definedName>
    <definedName name="OSRRefD21_1_1x" localSheetId="79">'415'!$D$37:$I$37</definedName>
    <definedName name="OSRRefD21_1_1x" localSheetId="80">'418'!$D$34:$I$34</definedName>
    <definedName name="OSRRefD21_1_1x" localSheetId="81">'423'!$D$29:$I$29</definedName>
    <definedName name="OSRRefD21_1_1x" localSheetId="86">'430'!$D$30:$I$30</definedName>
    <definedName name="OSRRefD21_1_1x" localSheetId="87">'433'!$D$38:$I$38</definedName>
    <definedName name="OSRRefD21_1_1x" localSheetId="88">'444'!$D$38:$I$38</definedName>
    <definedName name="OSRRefD21_1_1x" localSheetId="89">'450'!$D$38:$I$38</definedName>
    <definedName name="OSRRefD21_1_1x" localSheetId="72">'491'!$D$38:$I$38</definedName>
    <definedName name="OSRRefD21_1_1x" localSheetId="85">'492'!$D$38:$I$38</definedName>
    <definedName name="OSRRefD21_1_1x" localSheetId="91">'501'!$D$32:$I$32</definedName>
    <definedName name="OSRRefD21_1_1x" localSheetId="39">'Div 2'!$D$32:$I$32</definedName>
    <definedName name="OSRRefD21_1_1x" localSheetId="47">'Div 3'!$D$69:$I$69</definedName>
    <definedName name="OSRRefD21_1_1x" localSheetId="70">'Div 4'!$D$40:$I$40</definedName>
    <definedName name="OSRRefD21_1_1x" localSheetId="90">'Div 5'!$D$32:$I$32</definedName>
    <definedName name="OSRRefD21_1_1x" localSheetId="61">'Div 6'!$D$46:$I$46</definedName>
    <definedName name="OSRRefD21_1_1x" localSheetId="2">Summary!$D$77:$I$77</definedName>
    <definedName name="OSRRefD21_1_2x" localSheetId="41">'201'!$D$31:$I$31</definedName>
    <definedName name="OSRRefD21_1_2x" localSheetId="42">'202'!$D$31:$I$31</definedName>
    <definedName name="OSRRefD21_1_2x" localSheetId="43">'203'!$D$32:$I$32</definedName>
    <definedName name="OSRRefD21_1_2x" localSheetId="44">'204'!$D$31:$I$31</definedName>
    <definedName name="OSRRefD21_1_2x" localSheetId="45">'205'!$D$31:$I$31</definedName>
    <definedName name="OSRRefD21_1_2x" localSheetId="46">'206'!$D$31:$I$31</definedName>
    <definedName name="OSRRefD21_1_2x" localSheetId="48">'300'!$D$66:$I$66</definedName>
    <definedName name="OSRRefD21_1_2x" localSheetId="49">'300 &amp; 317'!$D$72:$I$72</definedName>
    <definedName name="OSRRefD21_1_2x" localSheetId="50">'301'!$D$33:$I$33</definedName>
    <definedName name="OSRRefD21_1_2x" localSheetId="52">'307'!$D$44:$I$44</definedName>
    <definedName name="OSRRefD21_1_2x" localSheetId="53">'308'!$D$47:$I$47</definedName>
    <definedName name="OSRRefD21_1_2x" localSheetId="63">'310'!$D$38:$I$38</definedName>
    <definedName name="OSRRefD21_1_2x" localSheetId="71">'310 &amp; 491'!$D$40:$I$40</definedName>
    <definedName name="OSRRefD21_1_2x" localSheetId="54">'311'!$D$47:$I$47</definedName>
    <definedName name="OSRRefD21_1_2x" localSheetId="57">'315'!$D$55:$I$55</definedName>
    <definedName name="OSRRefD21_1_2x" localSheetId="60">'316'!$D$38:$I$38</definedName>
    <definedName name="OSRRefD21_1_2x" localSheetId="62">'317'!$D$47:$I$47</definedName>
    <definedName name="OSRRefD21_1_2x" localSheetId="66">'321'!$D$35:$I$35</definedName>
    <definedName name="OSRRefD21_1_2x" localSheetId="68">'325'!$D$36:$I$36</definedName>
    <definedName name="OSRRefD21_1_2x" localSheetId="58">'326'!$D$39:$I$39</definedName>
    <definedName name="OSRRefD21_1_2x" localSheetId="51">'330'!$D$44:$I$44</definedName>
    <definedName name="OSRRefD21_1_2x" localSheetId="56">'331'!$D$55:$I$55</definedName>
    <definedName name="OSRRefD21_1_2x" localSheetId="59">'332'!$D$38:$I$38</definedName>
    <definedName name="OSRRefD21_1_2x" localSheetId="73">'405'!$D$38:$I$38</definedName>
    <definedName name="OSRRefD21_1_2x" localSheetId="75">'411'!$D$31:$I$31</definedName>
    <definedName name="OSRRefD21_1_2x" localSheetId="79">'415'!$D$38:$I$38</definedName>
    <definedName name="OSRRefD21_1_2x" localSheetId="80">'418'!$D$35:$I$35</definedName>
    <definedName name="OSRRefD21_1_2x" localSheetId="81">'423'!$D$30:$I$30</definedName>
    <definedName name="OSRRefD21_1_2x" localSheetId="86">'430'!$D$31:$I$31</definedName>
    <definedName name="OSRRefD21_1_2x" localSheetId="87">'433'!$D$39:$I$39</definedName>
    <definedName name="OSRRefD21_1_2x" localSheetId="88">'444'!$D$39:$I$39</definedName>
    <definedName name="OSRRefD21_1_2x" localSheetId="89">'450'!$D$39:$I$39</definedName>
    <definedName name="OSRRefD21_1_2x" localSheetId="72">'491'!$D$39:$I$39</definedName>
    <definedName name="OSRRefD21_1_2x" localSheetId="85">'492'!$D$39:$I$39</definedName>
    <definedName name="OSRRefD21_1_2x" localSheetId="91">'501'!$D$33:$I$33</definedName>
    <definedName name="OSRRefD21_1_2x" localSheetId="39">'Div 2'!$D$33:$I$33</definedName>
    <definedName name="OSRRefD21_1_2x" localSheetId="47">'Div 3'!$D$70:$I$70</definedName>
    <definedName name="OSRRefD21_1_2x" localSheetId="70">'Div 4'!$D$41:$I$41</definedName>
    <definedName name="OSRRefD21_1_2x" localSheetId="90">'Div 5'!$D$33:$I$33</definedName>
    <definedName name="OSRRefD21_1_2x" localSheetId="61">'Div 6'!$D$47:$I$47</definedName>
    <definedName name="OSRRefD21_1_2x" localSheetId="2">Summary!$D$78:$I$78</definedName>
    <definedName name="OSRRefD21_1_3x" localSheetId="41">'201'!$D$32:$I$32</definedName>
    <definedName name="OSRRefD21_1_3x" localSheetId="42">'202'!$D$32:$I$32</definedName>
    <definedName name="OSRRefD21_1_3x" localSheetId="43">'203'!$D$33:$I$33</definedName>
    <definedName name="OSRRefD21_1_3x" localSheetId="44">'204'!$D$32:$I$32</definedName>
    <definedName name="OSRRefD21_1_3x" localSheetId="45">'205'!$D$32:$I$32</definedName>
    <definedName name="OSRRefD21_1_3x" localSheetId="46">'206'!$D$32:$I$32</definedName>
    <definedName name="OSRRefD21_1_3x" localSheetId="48">'300'!$D$67:$I$67</definedName>
    <definedName name="OSRRefD21_1_3x" localSheetId="49">'300 &amp; 317'!$D$73:$I$73</definedName>
    <definedName name="OSRRefD21_1_3x" localSheetId="50">'301'!$D$34:$I$34</definedName>
    <definedName name="OSRRefD21_1_3x" localSheetId="52">'307'!$D$45:$I$45</definedName>
    <definedName name="OSRRefD21_1_3x" localSheetId="53">'308'!$D$48:$I$48</definedName>
    <definedName name="OSRRefD21_1_3x" localSheetId="63">'310'!$D$39:$I$39</definedName>
    <definedName name="OSRRefD21_1_3x" localSheetId="71">'310 &amp; 491'!$D$41:$I$41</definedName>
    <definedName name="OSRRefD21_1_3x" localSheetId="54">'311'!$D$48:$I$48</definedName>
    <definedName name="OSRRefD21_1_3x" localSheetId="57">'315'!$D$56:$I$56</definedName>
    <definedName name="OSRRefD21_1_3x" localSheetId="60">'316'!$D$39:$I$39</definedName>
    <definedName name="OSRRefD21_1_3x" localSheetId="62">'317'!$D$48:$I$48</definedName>
    <definedName name="OSRRefD21_1_3x" localSheetId="66">'321'!$D$36:$I$36</definedName>
    <definedName name="OSRRefD21_1_3x" localSheetId="68">'325'!$D$37:$I$37</definedName>
    <definedName name="OSRRefD21_1_3x" localSheetId="58">'326'!$D$40:$I$40</definedName>
    <definedName name="OSRRefD21_1_3x" localSheetId="51">'330'!$D$45:$I$45</definedName>
    <definedName name="OSRRefD21_1_3x" localSheetId="56">'331'!$D$56:$I$56</definedName>
    <definedName name="OSRRefD21_1_3x" localSheetId="59">'332'!$D$39:$I$39</definedName>
    <definedName name="OSRRefD21_1_3x" localSheetId="73">'405'!$D$39:$I$39</definedName>
    <definedName name="OSRRefD21_1_3x" localSheetId="75">'411'!$D$32:$I$32</definedName>
    <definedName name="OSRRefD21_1_3x" localSheetId="79">'415'!$D$39:$I$39</definedName>
    <definedName name="OSRRefD21_1_3x" localSheetId="80">'418'!$D$36:$I$36</definedName>
    <definedName name="OSRRefD21_1_3x" localSheetId="81">'423'!$D$31:$I$31</definedName>
    <definedName name="OSRRefD21_1_3x" localSheetId="86">'430'!$D$32:$I$32</definedName>
    <definedName name="OSRRefD21_1_3x" localSheetId="87">'433'!$D$40:$I$40</definedName>
    <definedName name="OSRRefD21_1_3x" localSheetId="88">'444'!$D$40:$I$40</definedName>
    <definedName name="OSRRefD21_1_3x" localSheetId="89">'450'!$D$40:$I$40</definedName>
    <definedName name="OSRRefD21_1_3x" localSheetId="72">'491'!$D$40:$I$40</definedName>
    <definedName name="OSRRefD21_1_3x" localSheetId="85">'492'!$D$40:$I$40</definedName>
    <definedName name="OSRRefD21_1_3x" localSheetId="91">'501'!$D$34:$I$34</definedName>
    <definedName name="OSRRefD21_1_3x" localSheetId="39">'Div 2'!$D$34:$I$34</definedName>
    <definedName name="OSRRefD21_1_3x" localSheetId="47">'Div 3'!$D$71:$I$71</definedName>
    <definedName name="OSRRefD21_1_3x" localSheetId="70">'Div 4'!$D$42:$I$42</definedName>
    <definedName name="OSRRefD21_1_3x" localSheetId="90">'Div 5'!$D$34:$I$34</definedName>
    <definedName name="OSRRefD21_1_3x" localSheetId="61">'Div 6'!$D$48:$I$48</definedName>
    <definedName name="OSRRefD21_1_3x" localSheetId="2">Summary!$D$79:$I$79</definedName>
    <definedName name="OSRRefD21_1_4x" localSheetId="41">'201'!$D$33:$I$33</definedName>
    <definedName name="OSRRefD21_1_4x" localSheetId="42">'202'!$D$33:$I$33</definedName>
    <definedName name="OSRRefD21_1_4x" localSheetId="43">'203'!$D$34:$I$34</definedName>
    <definedName name="OSRRefD21_1_4x" localSheetId="44">'204'!$D$33:$I$33</definedName>
    <definedName name="OSRRefD21_1_4x" localSheetId="45">'205'!$D$33:$I$33</definedName>
    <definedName name="OSRRefD21_1_4x" localSheetId="46">'206'!$D$33:$I$33</definedName>
    <definedName name="OSRRefD21_1_4x" localSheetId="48">'300'!$D$68:$I$68</definedName>
    <definedName name="OSRRefD21_1_4x" localSheetId="49">'300 &amp; 317'!$D$74:$I$74</definedName>
    <definedName name="OSRRefD21_1_4x" localSheetId="50">'301'!$D$35:$I$35</definedName>
    <definedName name="OSRRefD21_1_4x" localSheetId="52">'307'!$D$46:$I$46</definedName>
    <definedName name="OSRRefD21_1_4x" localSheetId="53">'308'!$D$49:$I$49</definedName>
    <definedName name="OSRRefD21_1_4x" localSheetId="63">'310'!$D$40:$I$40</definedName>
    <definedName name="OSRRefD21_1_4x" localSheetId="71">'310 &amp; 491'!$D$42:$I$42</definedName>
    <definedName name="OSRRefD21_1_4x" localSheetId="54">'311'!$D$49:$I$49</definedName>
    <definedName name="OSRRefD21_1_4x" localSheetId="57">'315'!$D$57:$I$57</definedName>
    <definedName name="OSRRefD21_1_4x" localSheetId="60">'316'!$D$40:$I$40</definedName>
    <definedName name="OSRRefD21_1_4x" localSheetId="62">'317'!$D$49:$I$49</definedName>
    <definedName name="OSRRefD21_1_4x" localSheetId="66">'321'!$D$37:$I$37</definedName>
    <definedName name="OSRRefD21_1_4x" localSheetId="68">'325'!$D$38:$I$38</definedName>
    <definedName name="OSRRefD21_1_4x" localSheetId="58">'326'!$D$41:$I$41</definedName>
    <definedName name="OSRRefD21_1_4x" localSheetId="51">'330'!$D$46:$I$46</definedName>
    <definedName name="OSRRefD21_1_4x" localSheetId="56">'331'!$D$57:$I$57</definedName>
    <definedName name="OSRRefD21_1_4x" localSheetId="59">'332'!$D$40:$I$40</definedName>
    <definedName name="OSRRefD21_1_4x" localSheetId="73">'405'!$D$40:$I$40</definedName>
    <definedName name="OSRRefD21_1_4x" localSheetId="75">'411'!$D$33:$I$33</definedName>
    <definedName name="OSRRefD21_1_4x" localSheetId="79">'415'!$D$40:$I$40</definedName>
    <definedName name="OSRRefD21_1_4x" localSheetId="80">'418'!$D$37:$I$37</definedName>
    <definedName name="OSRRefD21_1_4x" localSheetId="81">'423'!$D$32:$I$32</definedName>
    <definedName name="OSRRefD21_1_4x" localSheetId="86">'430'!$D$33:$I$33</definedName>
    <definedName name="OSRRefD21_1_4x" localSheetId="87">'433'!$D$41:$I$41</definedName>
    <definedName name="OSRRefD21_1_4x" localSheetId="88">'444'!$D$41:$I$41</definedName>
    <definedName name="OSRRefD21_1_4x" localSheetId="89">'450'!$D$41:$I$41</definedName>
    <definedName name="OSRRefD21_1_4x" localSheetId="72">'491'!$D$41:$I$41</definedName>
    <definedName name="OSRRefD21_1_4x" localSheetId="85">'492'!$D$41:$I$41</definedName>
    <definedName name="OSRRefD21_1_4x" localSheetId="91">'501'!$D$35:$I$35</definedName>
    <definedName name="OSRRefD21_1_4x" localSheetId="39">'Div 2'!$D$35:$I$35</definedName>
    <definedName name="OSRRefD21_1_4x" localSheetId="47">'Div 3'!$D$72:$I$72</definedName>
    <definedName name="OSRRefD21_1_4x" localSheetId="70">'Div 4'!$D$43:$I$43</definedName>
    <definedName name="OSRRefD21_1_4x" localSheetId="90">'Div 5'!$D$35:$I$35</definedName>
    <definedName name="OSRRefD21_1_4x" localSheetId="61">'Div 6'!$D$49:$I$49</definedName>
    <definedName name="OSRRefD21_1_4x" localSheetId="2">Summary!$D$80:$I$80</definedName>
    <definedName name="OSRRefD21_1_5x" localSheetId="41">'201'!$D$34:$I$34</definedName>
    <definedName name="OSRRefD21_1_5x" localSheetId="42">'202'!$D$34:$I$34</definedName>
    <definedName name="OSRRefD21_1_5x" localSheetId="43">'203'!$D$35:$I$35</definedName>
    <definedName name="OSRRefD21_1_5x" localSheetId="44">'204'!$D$34:$I$34</definedName>
    <definedName name="OSRRefD21_1_5x" localSheetId="45">'205'!$D$34:$I$34</definedName>
    <definedName name="OSRRefD21_1_5x" localSheetId="46">'206'!$D$34:$I$34</definedName>
    <definedName name="OSRRefD21_1_5x" localSheetId="48">'300'!$D$69:$I$69</definedName>
    <definedName name="OSRRefD21_1_5x" localSheetId="49">'300 &amp; 317'!$D$75:$I$75</definedName>
    <definedName name="OSRRefD21_1_5x" localSheetId="50">'301'!$D$36:$I$36</definedName>
    <definedName name="OSRRefD21_1_5x" localSheetId="52">'307'!$D$47:$I$47</definedName>
    <definedName name="OSRRefD21_1_5x" localSheetId="53">'308'!$D$50:$I$50</definedName>
    <definedName name="OSRRefD21_1_5x" localSheetId="63">'310'!$D$41:$I$41</definedName>
    <definedName name="OSRRefD21_1_5x" localSheetId="71">'310 &amp; 491'!$D$43:$I$43</definedName>
    <definedName name="OSRRefD21_1_5x" localSheetId="54">'311'!$D$50:$I$50</definedName>
    <definedName name="OSRRefD21_1_5x" localSheetId="57">'315'!$D$58:$I$58</definedName>
    <definedName name="OSRRefD21_1_5x" localSheetId="60">'316'!$D$41:$I$41</definedName>
    <definedName name="OSRRefD21_1_5x" localSheetId="62">'317'!$D$50:$I$50</definedName>
    <definedName name="OSRRefD21_1_5x" localSheetId="66">'321'!$D$38:$I$38</definedName>
    <definedName name="OSRRefD21_1_5x" localSheetId="68">'325'!$D$39:$I$39</definedName>
    <definedName name="OSRRefD21_1_5x" localSheetId="58">'326'!$D$42:$I$42</definedName>
    <definedName name="OSRRefD21_1_5x" localSheetId="51">'330'!$D$47:$I$47</definedName>
    <definedName name="OSRRefD21_1_5x" localSheetId="56">'331'!$D$58:$I$58</definedName>
    <definedName name="OSRRefD21_1_5x" localSheetId="59">'332'!$D$41:$I$41</definedName>
    <definedName name="OSRRefD21_1_5x" localSheetId="73">'405'!$D$41:$I$41</definedName>
    <definedName name="OSRRefD21_1_5x" localSheetId="75">'411'!$D$34:$I$34</definedName>
    <definedName name="OSRRefD21_1_5x" localSheetId="79">'415'!$D$41:$I$41</definedName>
    <definedName name="OSRRefD21_1_5x" localSheetId="80">'418'!$D$38:$I$38</definedName>
    <definedName name="OSRRefD21_1_5x" localSheetId="81">'423'!$D$33:$I$33</definedName>
    <definedName name="OSRRefD21_1_5x" localSheetId="86">'430'!$D$34:$I$34</definedName>
    <definedName name="OSRRefD21_1_5x" localSheetId="87">'433'!$D$42:$I$42</definedName>
    <definedName name="OSRRefD21_1_5x" localSheetId="88">'444'!$D$42:$I$42</definedName>
    <definedName name="OSRRefD21_1_5x" localSheetId="89">'450'!$D$42:$I$42</definedName>
    <definedName name="OSRRefD21_1_5x" localSheetId="72">'491'!$D$42:$I$42</definedName>
    <definedName name="OSRRefD21_1_5x" localSheetId="85">'492'!$D$42:$I$42</definedName>
    <definedName name="OSRRefD21_1_5x" localSheetId="91">'501'!$D$36:$I$36</definedName>
    <definedName name="OSRRefD21_1_5x" localSheetId="39">'Div 2'!$D$36:$I$36</definedName>
    <definedName name="OSRRefD21_1_5x" localSheetId="47">'Div 3'!$D$73:$I$73</definedName>
    <definedName name="OSRRefD21_1_5x" localSheetId="70">'Div 4'!$D$44:$I$44</definedName>
    <definedName name="OSRRefD21_1_5x" localSheetId="90">'Div 5'!$D$36:$I$36</definedName>
    <definedName name="OSRRefD21_1_5x" localSheetId="61">'Div 6'!$D$50:$I$50</definedName>
    <definedName name="OSRRefD21_1_5x" localSheetId="2">Summary!$D$81:$I$81</definedName>
    <definedName name="OSRRefD21_1_6x" localSheetId="41">'201'!$D$35:$I$35</definedName>
    <definedName name="OSRRefD21_1_6x" localSheetId="42">'202'!$D$35:$I$35</definedName>
    <definedName name="OSRRefD21_1_6x" localSheetId="43">'203'!$D$36:$I$36</definedName>
    <definedName name="OSRRefD21_1_6x" localSheetId="44">'204'!$D$35:$I$35</definedName>
    <definedName name="OSRRefD21_1_6x" localSheetId="45">'205'!$D$35:$I$35</definedName>
    <definedName name="OSRRefD21_1_6x" localSheetId="46">'206'!$D$35:$I$35</definedName>
    <definedName name="OSRRefD21_1_6x" localSheetId="48">'300'!$D$70:$I$70</definedName>
    <definedName name="OSRRefD21_1_6x" localSheetId="49">'300 &amp; 317'!$D$76:$I$76</definedName>
    <definedName name="OSRRefD21_1_6x" localSheetId="50">'301'!$D$37:$I$37</definedName>
    <definedName name="OSRRefD21_1_6x" localSheetId="52">'307'!$D$48:$I$48</definedName>
    <definedName name="OSRRefD21_1_6x" localSheetId="53">'308'!$D$51:$I$51</definedName>
    <definedName name="OSRRefD21_1_6x" localSheetId="63">'310'!$D$42:$I$42</definedName>
    <definedName name="OSRRefD21_1_6x" localSheetId="71">'310 &amp; 491'!$D$44:$I$44</definedName>
    <definedName name="OSRRefD21_1_6x" localSheetId="54">'311'!$D$51:$I$51</definedName>
    <definedName name="OSRRefD21_1_6x" localSheetId="57">'315'!$D$59:$I$59</definedName>
    <definedName name="OSRRefD21_1_6x" localSheetId="60">'316'!$D$42:$I$42</definedName>
    <definedName name="OSRRefD21_1_6x" localSheetId="62">'317'!$D$51:$I$51</definedName>
    <definedName name="OSRRefD21_1_6x" localSheetId="66">'321'!$D$39:$I$39</definedName>
    <definedName name="OSRRefD21_1_6x" localSheetId="68">'325'!$D$40:$I$40</definedName>
    <definedName name="OSRRefD21_1_6x" localSheetId="58">'326'!$D$43:$I$43</definedName>
    <definedName name="OSRRefD21_1_6x" localSheetId="51">'330'!$D$48:$I$48</definedName>
    <definedName name="OSRRefD21_1_6x" localSheetId="56">'331'!$D$59:$I$59</definedName>
    <definedName name="OSRRefD21_1_6x" localSheetId="59">'332'!$D$42:$I$42</definedName>
    <definedName name="OSRRefD21_1_6x" localSheetId="73">'405'!$D$42:$I$42</definedName>
    <definedName name="OSRRefD21_1_6x" localSheetId="75">'411'!$D$35:$I$35</definedName>
    <definedName name="OSRRefD21_1_6x" localSheetId="79">'415'!$D$42:$I$42</definedName>
    <definedName name="OSRRefD21_1_6x" localSheetId="80">'418'!$D$39:$I$39</definedName>
    <definedName name="OSRRefD21_1_6x" localSheetId="81">'423'!$D$34:$I$34</definedName>
    <definedName name="OSRRefD21_1_6x" localSheetId="86">'430'!$D$35:$I$35</definedName>
    <definedName name="OSRRefD21_1_6x" localSheetId="87">'433'!$D$43:$I$43</definedName>
    <definedName name="OSRRefD21_1_6x" localSheetId="88">'444'!$D$43:$I$43</definedName>
    <definedName name="OSRRefD21_1_6x" localSheetId="89">'450'!$D$43:$I$43</definedName>
    <definedName name="OSRRefD21_1_6x" localSheetId="72">'491'!$D$43:$I$43</definedName>
    <definedName name="OSRRefD21_1_6x" localSheetId="85">'492'!$D$43:$I$43</definedName>
    <definedName name="OSRRefD21_1_6x" localSheetId="91">'501'!$D$37:$I$37</definedName>
    <definedName name="OSRRefD21_1_6x" localSheetId="39">'Div 2'!$D$37:$I$37</definedName>
    <definedName name="OSRRefD21_1_6x" localSheetId="47">'Div 3'!$D$74:$I$74</definedName>
    <definedName name="OSRRefD21_1_6x" localSheetId="70">'Div 4'!$D$45:$I$45</definedName>
    <definedName name="OSRRefD21_1_6x" localSheetId="90">'Div 5'!$D$37:$I$37</definedName>
    <definedName name="OSRRefD21_1_6x" localSheetId="61">'Div 6'!$D$51:$I$51</definedName>
    <definedName name="OSRRefD21_1_6x" localSheetId="2">Summary!$D$82:$I$82</definedName>
    <definedName name="OSRRefD21_1_7x" localSheetId="41">'201'!$D$36:$I$36</definedName>
    <definedName name="OSRRefD21_1_7x" localSheetId="42">'202'!$D$36:$I$36</definedName>
    <definedName name="OSRRefD21_1_7x" localSheetId="43">'203'!$D$37:$I$37</definedName>
    <definedName name="OSRRefD21_1_7x" localSheetId="44">'204'!$D$36:$I$36</definedName>
    <definedName name="OSRRefD21_1_7x" localSheetId="45">'205'!$D$36:$I$36</definedName>
    <definedName name="OSRRefD21_1_7x" localSheetId="46">'206'!$D$36:$I$36</definedName>
    <definedName name="OSRRefD21_1_7x" localSheetId="48">'300'!$D$71:$I$71</definedName>
    <definedName name="OSRRefD21_1_7x" localSheetId="49">'300 &amp; 317'!$D$77:$I$77</definedName>
    <definedName name="OSRRefD21_1_7x" localSheetId="50">'301'!$D$38:$I$38</definedName>
    <definedName name="OSRRefD21_1_7x" localSheetId="52">'307'!$D$49:$I$49</definedName>
    <definedName name="OSRRefD21_1_7x" localSheetId="53">'308'!$D$52:$I$52</definedName>
    <definedName name="OSRRefD21_1_7x" localSheetId="63">'310'!$D$43:$I$43</definedName>
    <definedName name="OSRRefD21_1_7x" localSheetId="71">'310 &amp; 491'!$D$45:$I$45</definedName>
    <definedName name="OSRRefD21_1_7x" localSheetId="54">'311'!$D$52:$I$52</definedName>
    <definedName name="OSRRefD21_1_7x" localSheetId="57">'315'!$D$60:$I$60</definedName>
    <definedName name="OSRRefD21_1_7x" localSheetId="60">'316'!$D$43:$I$43</definedName>
    <definedName name="OSRRefD21_1_7x" localSheetId="62">'317'!$D$52:$I$52</definedName>
    <definedName name="OSRRefD21_1_7x" localSheetId="66">'321'!$D$40:$I$40</definedName>
    <definedName name="OSRRefD21_1_7x" localSheetId="68">'325'!$D$41:$I$41</definedName>
    <definedName name="OSRRefD21_1_7x" localSheetId="58">'326'!$D$44:$I$44</definedName>
    <definedName name="OSRRefD21_1_7x" localSheetId="51">'330'!$D$49:$I$49</definedName>
    <definedName name="OSRRefD21_1_7x" localSheetId="56">'331'!$D$60:$I$60</definedName>
    <definedName name="OSRRefD21_1_7x" localSheetId="59">'332'!$D$43:$I$43</definedName>
    <definedName name="OSRRefD21_1_7x" localSheetId="73">'405'!$D$43:$I$43</definedName>
    <definedName name="OSRRefD21_1_7x" localSheetId="75">'411'!$D$36:$I$36</definedName>
    <definedName name="OSRRefD21_1_7x" localSheetId="79">'415'!$D$43:$I$43</definedName>
    <definedName name="OSRRefD21_1_7x" localSheetId="80">'418'!$D$40:$I$40</definedName>
    <definedName name="OSRRefD21_1_7x" localSheetId="81">'423'!$D$35:$I$35</definedName>
    <definedName name="OSRRefD21_1_7x" localSheetId="86">'430'!$D$36:$I$36</definedName>
    <definedName name="OSRRefD21_1_7x" localSheetId="87">'433'!$D$44:$I$44</definedName>
    <definedName name="OSRRefD21_1_7x" localSheetId="88">'444'!$D$44:$I$44</definedName>
    <definedName name="OSRRefD21_1_7x" localSheetId="89">'450'!$D$44:$I$44</definedName>
    <definedName name="OSRRefD21_1_7x" localSheetId="72">'491'!$D$44:$I$44</definedName>
    <definedName name="OSRRefD21_1_7x" localSheetId="85">'492'!$D$44:$I$44</definedName>
    <definedName name="OSRRefD21_1_7x" localSheetId="91">'501'!$D$38:$I$38</definedName>
    <definedName name="OSRRefD21_1_7x" localSheetId="39">'Div 2'!$D$38:$I$38</definedName>
    <definedName name="OSRRefD21_1_7x" localSheetId="47">'Div 3'!$D$75:$I$75</definedName>
    <definedName name="OSRRefD21_1_7x" localSheetId="70">'Div 4'!$D$46:$I$46</definedName>
    <definedName name="OSRRefD21_1_7x" localSheetId="90">'Div 5'!$D$38:$I$38</definedName>
    <definedName name="OSRRefD21_1_7x" localSheetId="61">'Div 6'!$D$52:$I$52</definedName>
    <definedName name="OSRRefD21_1_7x" localSheetId="2">Summary!$D$83:$I$83</definedName>
    <definedName name="OSRRefD21_1_8x" localSheetId="41">'201'!$D$37:$I$37</definedName>
    <definedName name="OSRRefD21_1_8x" localSheetId="42">'202'!$D$37:$I$37</definedName>
    <definedName name="OSRRefD21_1_8x" localSheetId="43">'203'!$D$38:$I$38</definedName>
    <definedName name="OSRRefD21_1_8x" localSheetId="44">'204'!$D$37:$I$37</definedName>
    <definedName name="OSRRefD21_1_8x" localSheetId="45">'205'!$D$37:$I$37</definedName>
    <definedName name="OSRRefD21_1_8x" localSheetId="46">'206'!$D$37:$I$37</definedName>
    <definedName name="OSRRefD21_1_8x" localSheetId="48">'300'!$D$72:$I$72</definedName>
    <definedName name="OSRRefD21_1_8x" localSheetId="49">'300 &amp; 317'!$D$78:$I$78</definedName>
    <definedName name="OSRRefD21_1_8x" localSheetId="50">'301'!$D$39:$I$39</definedName>
    <definedName name="OSRRefD21_1_8x" localSheetId="52">'307'!$D$50:$I$50</definedName>
    <definedName name="OSRRefD21_1_8x" localSheetId="53">'308'!$D$53:$I$53</definedName>
    <definedName name="OSRRefD21_1_8x" localSheetId="63">'310'!$D$44:$I$44</definedName>
    <definedName name="OSRRefD21_1_8x" localSheetId="71">'310 &amp; 491'!$D$46:$I$46</definedName>
    <definedName name="OSRRefD21_1_8x" localSheetId="54">'311'!$D$53:$I$53</definedName>
    <definedName name="OSRRefD21_1_8x" localSheetId="57">'315'!$D$61:$I$61</definedName>
    <definedName name="OSRRefD21_1_8x" localSheetId="60">'316'!$D$44:$I$44</definedName>
    <definedName name="OSRRefD21_1_8x" localSheetId="62">'317'!$D$53:$I$53</definedName>
    <definedName name="OSRRefD21_1_8x" localSheetId="66">'321'!$D$41:$I$41</definedName>
    <definedName name="OSRRefD21_1_8x" localSheetId="68">'325'!$D$42:$I$42</definedName>
    <definedName name="OSRRefD21_1_8x" localSheetId="58">'326'!$D$45:$I$45</definedName>
    <definedName name="OSRRefD21_1_8x" localSheetId="51">'330'!$D$50:$I$50</definedName>
    <definedName name="OSRRefD21_1_8x" localSheetId="56">'331'!$D$61:$I$61</definedName>
    <definedName name="OSRRefD21_1_8x" localSheetId="59">'332'!$D$44:$I$44</definedName>
    <definedName name="OSRRefD21_1_8x" localSheetId="73">'405'!$D$44:$I$44</definedName>
    <definedName name="OSRRefD21_1_8x" localSheetId="75">'411'!$D$37:$I$37</definedName>
    <definedName name="OSRRefD21_1_8x" localSheetId="79">'415'!$D$44:$I$44</definedName>
    <definedName name="OSRRefD21_1_8x" localSheetId="80">'418'!$D$41:$I$41</definedName>
    <definedName name="OSRRefD21_1_8x" localSheetId="81">'423'!$D$36:$I$36</definedName>
    <definedName name="OSRRefD21_1_8x" localSheetId="86">'430'!$D$37:$I$37</definedName>
    <definedName name="OSRRefD21_1_8x" localSheetId="87">'433'!$D$45:$I$45</definedName>
    <definedName name="OSRRefD21_1_8x" localSheetId="88">'444'!$D$45:$I$45</definedName>
    <definedName name="OSRRefD21_1_8x" localSheetId="89">'450'!$D$45:$I$45</definedName>
    <definedName name="OSRRefD21_1_8x" localSheetId="72">'491'!$D$45:$I$45</definedName>
    <definedName name="OSRRefD21_1_8x" localSheetId="85">'492'!$D$45:$I$45</definedName>
    <definedName name="OSRRefD21_1_8x" localSheetId="91">'501'!$D$39:$I$39</definedName>
    <definedName name="OSRRefD21_1_8x" localSheetId="39">'Div 2'!$D$39:$I$39</definedName>
    <definedName name="OSRRefD21_1_8x" localSheetId="47">'Div 3'!$D$76:$I$76</definedName>
    <definedName name="OSRRefD21_1_8x" localSheetId="70">'Div 4'!$D$47:$I$47</definedName>
    <definedName name="OSRRefD21_1_8x" localSheetId="90">'Div 5'!$D$39:$I$39</definedName>
    <definedName name="OSRRefD21_1_8x" localSheetId="61">'Div 6'!$D$53:$I$53</definedName>
    <definedName name="OSRRefD21_1_8x" localSheetId="2">Summary!$D$84:$I$84</definedName>
    <definedName name="OSRRefD21_1_9x" localSheetId="41">'201'!$D$38:$I$38</definedName>
    <definedName name="OSRRefD21_1_9x" localSheetId="42">'202'!$D$38:$I$38</definedName>
    <definedName name="OSRRefD21_1_9x" localSheetId="43">'203'!$D$39:$I$39</definedName>
    <definedName name="OSRRefD21_1_9x" localSheetId="44">'204'!$D$38:$I$38</definedName>
    <definedName name="OSRRefD21_1_9x" localSheetId="45">'205'!$D$38:$I$38</definedName>
    <definedName name="OSRRefD21_1_9x" localSheetId="46">'206'!$D$38:$I$38</definedName>
    <definedName name="OSRRefD21_1_9x" localSheetId="48">'300'!$D$73:$I$73</definedName>
    <definedName name="OSRRefD21_1_9x" localSheetId="49">'300 &amp; 317'!$D$79:$I$79</definedName>
    <definedName name="OSRRefD21_1_9x" localSheetId="50">'301'!$D$40:$I$40</definedName>
    <definedName name="OSRRefD21_1_9x" localSheetId="52">'307'!$D$51:$I$51</definedName>
    <definedName name="OSRRefD21_1_9x" localSheetId="53">'308'!$D$54:$I$54</definedName>
    <definedName name="OSRRefD21_1_9x" localSheetId="63">'310'!$D$45:$I$45</definedName>
    <definedName name="OSRRefD21_1_9x" localSheetId="71">'310 &amp; 491'!$D$47:$I$47</definedName>
    <definedName name="OSRRefD21_1_9x" localSheetId="54">'311'!$D$54:$I$54</definedName>
    <definedName name="OSRRefD21_1_9x" localSheetId="57">'315'!$D$62:$I$62</definedName>
    <definedName name="OSRRefD21_1_9x" localSheetId="60">'316'!$D$45:$I$45</definedName>
    <definedName name="OSRRefD21_1_9x" localSheetId="62">'317'!$D$54:$I$54</definedName>
    <definedName name="OSRRefD21_1_9x" localSheetId="66">'321'!$D$42:$I$42</definedName>
    <definedName name="OSRRefD21_1_9x" localSheetId="68">'325'!$D$43:$I$43</definedName>
    <definedName name="OSRRefD21_1_9x" localSheetId="58">'326'!$D$46:$I$46</definedName>
    <definedName name="OSRRefD21_1_9x" localSheetId="51">'330'!$D$51:$I$51</definedName>
    <definedName name="OSRRefD21_1_9x" localSheetId="56">'331'!$D$62:$I$62</definedName>
    <definedName name="OSRRefD21_1_9x" localSheetId="59">'332'!$D$45:$I$45</definedName>
    <definedName name="OSRRefD21_1_9x" localSheetId="73">'405'!$D$45:$I$45</definedName>
    <definedName name="OSRRefD21_1_9x" localSheetId="75">'411'!$D$38:$I$38</definedName>
    <definedName name="OSRRefD21_1_9x" localSheetId="79">'415'!$D$45:$I$45</definedName>
    <definedName name="OSRRefD21_1_9x" localSheetId="80">'418'!$D$42:$I$42</definedName>
    <definedName name="OSRRefD21_1_9x" localSheetId="81">'423'!$D$37:$I$37</definedName>
    <definedName name="OSRRefD21_1_9x" localSheetId="86">'430'!$D$38:$I$38</definedName>
    <definedName name="OSRRefD21_1_9x" localSheetId="87">'433'!$D$46:$I$46</definedName>
    <definedName name="OSRRefD21_1_9x" localSheetId="88">'444'!$D$46:$I$46</definedName>
    <definedName name="OSRRefD21_1_9x" localSheetId="89">'450'!$D$46:$I$46</definedName>
    <definedName name="OSRRefD21_1_9x" localSheetId="72">'491'!$D$46:$I$46</definedName>
    <definedName name="OSRRefD21_1_9x" localSheetId="85">'492'!$D$46:$I$46</definedName>
    <definedName name="OSRRefD21_1_9x" localSheetId="91">'501'!$D$40:$I$40</definedName>
    <definedName name="OSRRefD21_1_9x" localSheetId="39">'Div 2'!$D$40:$I$40</definedName>
    <definedName name="OSRRefD21_1_9x" localSheetId="47">'Div 3'!$D$77:$I$77</definedName>
    <definedName name="OSRRefD21_1_9x" localSheetId="70">'Div 4'!$D$48:$I$48</definedName>
    <definedName name="OSRRefD21_1_9x" localSheetId="90">'Div 5'!$D$40:$I$40</definedName>
    <definedName name="OSRRefD21_1_9x" localSheetId="61">'Div 6'!$D$54:$I$54</definedName>
    <definedName name="OSRRefD21_1_9x" localSheetId="2">Summary!$D$85:$I$85</definedName>
    <definedName name="OSRRefD21_10_0x" localSheetId="41">'201'!$D$58:$I$58</definedName>
    <definedName name="OSRRefD21_10_0x" localSheetId="42">'202'!$D$58:$I$58</definedName>
    <definedName name="OSRRefD21_10_0x" localSheetId="43">'203'!$D$60:$I$60</definedName>
    <definedName name="OSRRefD21_10_0x" localSheetId="48">'300'!$D$93:$I$93</definedName>
    <definedName name="OSRRefD21_10_0x" localSheetId="49">'300 &amp; 317'!$D$99:$I$99</definedName>
    <definedName name="OSRRefD21_10_0x" localSheetId="50">'301'!$D$60:$I$60</definedName>
    <definedName name="OSRRefD21_10_0x" localSheetId="52">'307'!$D$70:$I$70</definedName>
    <definedName name="OSRRefD21_10_0x" localSheetId="53">'308'!$D$75:$I$75</definedName>
    <definedName name="OSRRefD21_10_0x" localSheetId="63">'310'!$D$64:$I$64</definedName>
    <definedName name="OSRRefD21_10_0x" localSheetId="71">'310 &amp; 491'!$D$67:$I$67</definedName>
    <definedName name="OSRRefD21_10_0x" localSheetId="54">'311'!$D$75:$I$75</definedName>
    <definedName name="OSRRefD21_10_0x" localSheetId="57">'315'!$D$81:$I$81</definedName>
    <definedName name="OSRRefD21_10_0x" localSheetId="60">'316'!$D$68:$I$68</definedName>
    <definedName name="OSRRefD21_10_0x" localSheetId="66">'321'!$D$65:$I$65</definedName>
    <definedName name="OSRRefD21_10_0x" localSheetId="68">'325'!$D$62:$I$62</definedName>
    <definedName name="OSRRefD21_10_0x" localSheetId="58">'326'!$D$64:$I$64</definedName>
    <definedName name="OSRRefD21_10_0x" localSheetId="51">'330'!$D$70:$I$70</definedName>
    <definedName name="OSRRefD21_10_0x" localSheetId="56">'331'!$D$81:$I$81</definedName>
    <definedName name="OSRRefD21_10_0x" localSheetId="59">'332'!$D$68:$I$68</definedName>
    <definedName name="OSRRefD21_10_0x" localSheetId="73">'405'!$D$65:$I$65</definedName>
    <definedName name="OSRRefD21_10_0x" localSheetId="75">'411'!$D$61:$I$61</definedName>
    <definedName name="OSRRefD21_10_0x" localSheetId="79">'415'!$D$64:$I$64</definedName>
    <definedName name="OSRRefD21_10_0x" localSheetId="80">'418'!$D$65:$I$65</definedName>
    <definedName name="OSRRefD21_10_0x" localSheetId="87">'433'!$D$64:$I$64</definedName>
    <definedName name="OSRRefD21_10_0x" localSheetId="88">'444'!$D$64:$I$64</definedName>
    <definedName name="OSRRefD21_10_0x" localSheetId="89">'450'!$D$64:$I$64</definedName>
    <definedName name="OSRRefD21_10_0x" localSheetId="72">'491'!$D$66:$I$66</definedName>
    <definedName name="OSRRefD21_10_0x" localSheetId="85">'492'!$D$64:$I$64</definedName>
    <definedName name="OSRRefD21_10_0x" localSheetId="91">'501'!$D$60:$I$60</definedName>
    <definedName name="OSRRefD21_10_0x" localSheetId="39">'Div 2'!$D$59:$I$59</definedName>
    <definedName name="OSRRefD21_10_0x" localSheetId="47">'Div 3'!$D$97:$I$97</definedName>
    <definedName name="OSRRefD21_10_0x" localSheetId="70">'Div 4'!$D$68:$I$68</definedName>
    <definedName name="OSRRefD21_10_0x" localSheetId="90">'Div 5'!$D$60:$I$60</definedName>
    <definedName name="OSRRefD21_10_0x" localSheetId="2">Summary!$D$105:$I$105</definedName>
    <definedName name="OSRRefD21_10_1x" localSheetId="41">'201'!$D$59:$I$59</definedName>
    <definedName name="OSRRefD21_10_1x" localSheetId="48">'300'!$D$94:$I$94</definedName>
    <definedName name="OSRRefD21_10_1x" localSheetId="49">'300 &amp; 317'!$D$100:$I$100</definedName>
    <definedName name="OSRRefD21_10_1x" localSheetId="52">'307'!$D$71:$I$71</definedName>
    <definedName name="OSRRefD21_10_1x" localSheetId="53">'308'!$D$76:$I$76</definedName>
    <definedName name="OSRRefD21_10_1x" localSheetId="54">'311'!$D$76:$I$76</definedName>
    <definedName name="OSRRefD21_10_1x" localSheetId="51">'330'!$D$71:$I$71</definedName>
    <definedName name="OSRRefD21_10_1x" localSheetId="73">'405'!$D$66:$I$66</definedName>
    <definedName name="OSRRefD21_10_1x" localSheetId="47">'Div 3'!$D$98:$I$98</definedName>
    <definedName name="OSRRefD21_10_1x" localSheetId="2">Summary!$D$106:$I$106</definedName>
    <definedName name="OSRRefD21_10_2x" localSheetId="73">'405'!$D$67:$I$67</definedName>
    <definedName name="OSRRefD21_10x_0" localSheetId="41">'201'!$D$58:$D$59</definedName>
    <definedName name="OSRRefD21_10x_0" localSheetId="42">'202'!$D$58</definedName>
    <definedName name="OSRRefD21_10x_0" localSheetId="43">'203'!$D$60</definedName>
    <definedName name="OSRRefD21_10x_0" localSheetId="48">'300'!$D$93:$D$94</definedName>
    <definedName name="OSRRefD21_10x_0" localSheetId="49">'300 &amp; 317'!$D$99:$D$100</definedName>
    <definedName name="OSRRefD21_10x_0" localSheetId="50">'301'!$D$60</definedName>
    <definedName name="OSRRefD21_10x_0" localSheetId="52">'307'!$D$70:$D$71</definedName>
    <definedName name="OSRRefD21_10x_0" localSheetId="53">'308'!$D$75:$D$76</definedName>
    <definedName name="OSRRefD21_10x_0" localSheetId="63">'310'!$D$64</definedName>
    <definedName name="OSRRefD21_10x_0" localSheetId="71">'310 &amp; 491'!$D$67</definedName>
    <definedName name="OSRRefD21_10x_0" localSheetId="54">'311'!$D$75:$D$76</definedName>
    <definedName name="OSRRefD21_10x_0" localSheetId="57">'315'!$D$81</definedName>
    <definedName name="OSRRefD21_10x_0" localSheetId="60">'316'!$D$68</definedName>
    <definedName name="OSRRefD21_10x_0" localSheetId="66">'321'!$D$65</definedName>
    <definedName name="OSRRefD21_10x_0" localSheetId="68">'325'!$D$62</definedName>
    <definedName name="OSRRefD21_10x_0" localSheetId="58">'326'!$D$64</definedName>
    <definedName name="OSRRefD21_10x_0" localSheetId="51">'330'!$D$70:$D$71</definedName>
    <definedName name="OSRRefD21_10x_0" localSheetId="56">'331'!$D$81</definedName>
    <definedName name="OSRRefD21_10x_0" localSheetId="59">'332'!$D$68</definedName>
    <definedName name="OSRRefD21_10x_0" localSheetId="73">'405'!$D$65:$D$67</definedName>
    <definedName name="OSRRefD21_10x_0" localSheetId="75">'411'!$D$61</definedName>
    <definedName name="OSRRefD21_10x_0" localSheetId="79">'415'!$D$64</definedName>
    <definedName name="OSRRefD21_10x_0" localSheetId="80">'418'!$D$65</definedName>
    <definedName name="OSRRefD21_10x_0" localSheetId="87">'433'!$D$64</definedName>
    <definedName name="OSRRefD21_10x_0" localSheetId="88">'444'!$D$64</definedName>
    <definedName name="OSRRefD21_10x_0" localSheetId="89">'450'!$D$64</definedName>
    <definedName name="OSRRefD21_10x_0" localSheetId="72">'491'!$D$66</definedName>
    <definedName name="OSRRefD21_10x_0" localSheetId="85">'492'!$D$64</definedName>
    <definedName name="OSRRefD21_10x_0" localSheetId="91">'501'!$D$60</definedName>
    <definedName name="OSRRefD21_10x_0" localSheetId="39">'Div 2'!$D$59</definedName>
    <definedName name="OSRRefD21_10x_0" localSheetId="47">'Div 3'!$D$97:$D$98</definedName>
    <definedName name="OSRRefD21_10x_0" localSheetId="70">'Div 4'!$D$68</definedName>
    <definedName name="OSRRefD21_10x_0" localSheetId="90">'Div 5'!$D$60</definedName>
    <definedName name="OSRRefD21_10x_0" localSheetId="2">Summary!$D$105:$D$106</definedName>
    <definedName name="OSRRefD21_10x_1" localSheetId="41">'201'!$E$58:$E$59</definedName>
    <definedName name="OSRRefD21_10x_1" localSheetId="42">'202'!$E$58</definedName>
    <definedName name="OSRRefD21_10x_1" localSheetId="43">'203'!$E$60</definedName>
    <definedName name="OSRRefD21_10x_1" localSheetId="48">'300'!$E$93:$E$94</definedName>
    <definedName name="OSRRefD21_10x_1" localSheetId="49">'300 &amp; 317'!$E$99:$E$100</definedName>
    <definedName name="OSRRefD21_10x_1" localSheetId="50">'301'!$E$60</definedName>
    <definedName name="OSRRefD21_10x_1" localSheetId="52">'307'!$E$70:$E$71</definedName>
    <definedName name="OSRRefD21_10x_1" localSheetId="53">'308'!$E$75:$E$76</definedName>
    <definedName name="OSRRefD21_10x_1" localSheetId="63">'310'!$E$64</definedName>
    <definedName name="OSRRefD21_10x_1" localSheetId="71">'310 &amp; 491'!$E$67</definedName>
    <definedName name="OSRRefD21_10x_1" localSheetId="54">'311'!$E$75:$E$76</definedName>
    <definedName name="OSRRefD21_10x_1" localSheetId="57">'315'!$E$81</definedName>
    <definedName name="OSRRefD21_10x_1" localSheetId="60">'316'!$E$68</definedName>
    <definedName name="OSRRefD21_10x_1" localSheetId="66">'321'!$E$65</definedName>
    <definedName name="OSRRefD21_10x_1" localSheetId="68">'325'!$E$62</definedName>
    <definedName name="OSRRefD21_10x_1" localSheetId="58">'326'!$E$64</definedName>
    <definedName name="OSRRefD21_10x_1" localSheetId="51">'330'!$E$70:$E$71</definedName>
    <definedName name="OSRRefD21_10x_1" localSheetId="56">'331'!$E$81</definedName>
    <definedName name="OSRRefD21_10x_1" localSheetId="59">'332'!$E$68</definedName>
    <definedName name="OSRRefD21_10x_1" localSheetId="73">'405'!$E$65:$E$67</definedName>
    <definedName name="OSRRefD21_10x_1" localSheetId="75">'411'!$E$61</definedName>
    <definedName name="OSRRefD21_10x_1" localSheetId="79">'415'!$E$64</definedName>
    <definedName name="OSRRefD21_10x_1" localSheetId="80">'418'!$E$65</definedName>
    <definedName name="OSRRefD21_10x_1" localSheetId="87">'433'!$E$64</definedName>
    <definedName name="OSRRefD21_10x_1" localSheetId="88">'444'!$E$64</definedName>
    <definedName name="OSRRefD21_10x_1" localSheetId="89">'450'!$E$64</definedName>
    <definedName name="OSRRefD21_10x_1" localSheetId="72">'491'!$E$66</definedName>
    <definedName name="OSRRefD21_10x_1" localSheetId="85">'492'!$E$64</definedName>
    <definedName name="OSRRefD21_10x_1" localSheetId="91">'501'!$E$60</definedName>
    <definedName name="OSRRefD21_10x_1" localSheetId="39">'Div 2'!$E$59</definedName>
    <definedName name="OSRRefD21_10x_1" localSheetId="47">'Div 3'!$E$97:$E$98</definedName>
    <definedName name="OSRRefD21_10x_1" localSheetId="70">'Div 4'!$E$68</definedName>
    <definedName name="OSRRefD21_10x_1" localSheetId="90">'Div 5'!$E$60</definedName>
    <definedName name="OSRRefD21_10x_1" localSheetId="2">Summary!$E$105:$E$106</definedName>
    <definedName name="OSRRefD21_10x_2" localSheetId="41">'201'!$F$58:$F$59</definedName>
    <definedName name="OSRRefD21_10x_2" localSheetId="42">'202'!$F$58</definedName>
    <definedName name="OSRRefD21_10x_2" localSheetId="43">'203'!$F$60</definedName>
    <definedName name="OSRRefD21_10x_2" localSheetId="48">'300'!$F$93:$F$94</definedName>
    <definedName name="OSRRefD21_10x_2" localSheetId="49">'300 &amp; 317'!$F$99:$F$100</definedName>
    <definedName name="OSRRefD21_10x_2" localSheetId="50">'301'!$F$60</definedName>
    <definedName name="OSRRefD21_10x_2" localSheetId="52">'307'!$F$70:$F$71</definedName>
    <definedName name="OSRRefD21_10x_2" localSheetId="53">'308'!$F$75:$F$76</definedName>
    <definedName name="OSRRefD21_10x_2" localSheetId="63">'310'!$F$64</definedName>
    <definedName name="OSRRefD21_10x_2" localSheetId="71">'310 &amp; 491'!$F$67</definedName>
    <definedName name="OSRRefD21_10x_2" localSheetId="54">'311'!$F$75:$F$76</definedName>
    <definedName name="OSRRefD21_10x_2" localSheetId="57">'315'!$F$81</definedName>
    <definedName name="OSRRefD21_10x_2" localSheetId="60">'316'!$F$68</definedName>
    <definedName name="OSRRefD21_10x_2" localSheetId="66">'321'!$F$65</definedName>
    <definedName name="OSRRefD21_10x_2" localSheetId="68">'325'!$F$62</definedName>
    <definedName name="OSRRefD21_10x_2" localSheetId="58">'326'!$F$64</definedName>
    <definedName name="OSRRefD21_10x_2" localSheetId="51">'330'!$F$70:$F$71</definedName>
    <definedName name="OSRRefD21_10x_2" localSheetId="56">'331'!$F$81</definedName>
    <definedName name="OSRRefD21_10x_2" localSheetId="59">'332'!$F$68</definedName>
    <definedName name="OSRRefD21_10x_2" localSheetId="73">'405'!$F$65:$F$67</definedName>
    <definedName name="OSRRefD21_10x_2" localSheetId="75">'411'!$F$61</definedName>
    <definedName name="OSRRefD21_10x_2" localSheetId="79">'415'!$F$64</definedName>
    <definedName name="OSRRefD21_10x_2" localSheetId="80">'418'!$F$65</definedName>
    <definedName name="OSRRefD21_10x_2" localSheetId="87">'433'!$F$64</definedName>
    <definedName name="OSRRefD21_10x_2" localSheetId="88">'444'!$F$64</definedName>
    <definedName name="OSRRefD21_10x_2" localSheetId="89">'450'!$F$64</definedName>
    <definedName name="OSRRefD21_10x_2" localSheetId="72">'491'!$F$66</definedName>
    <definedName name="OSRRefD21_10x_2" localSheetId="85">'492'!$F$64</definedName>
    <definedName name="OSRRefD21_10x_2" localSheetId="91">'501'!$F$60</definedName>
    <definedName name="OSRRefD21_10x_2" localSheetId="39">'Div 2'!$F$59</definedName>
    <definedName name="OSRRefD21_10x_2" localSheetId="47">'Div 3'!$F$97:$F$98</definedName>
    <definedName name="OSRRefD21_10x_2" localSheetId="70">'Div 4'!$F$68</definedName>
    <definedName name="OSRRefD21_10x_2" localSheetId="90">'Div 5'!$F$60</definedName>
    <definedName name="OSRRefD21_10x_2" localSheetId="2">Summary!$F$105:$F$106</definedName>
    <definedName name="OSRRefD21_10x_3" localSheetId="41">'201'!$G$58:$G$59</definedName>
    <definedName name="OSRRefD21_10x_3" localSheetId="42">'202'!$G$58</definedName>
    <definedName name="OSRRefD21_10x_3" localSheetId="43">'203'!$G$60</definedName>
    <definedName name="OSRRefD21_10x_3" localSheetId="48">'300'!$G$93:$G$94</definedName>
    <definedName name="OSRRefD21_10x_3" localSheetId="49">'300 &amp; 317'!$G$99:$G$100</definedName>
    <definedName name="OSRRefD21_10x_3" localSheetId="50">'301'!$G$60</definedName>
    <definedName name="OSRRefD21_10x_3" localSheetId="52">'307'!$G$70:$G$71</definedName>
    <definedName name="OSRRefD21_10x_3" localSheetId="53">'308'!$G$75:$G$76</definedName>
    <definedName name="OSRRefD21_10x_3" localSheetId="63">'310'!$G$64</definedName>
    <definedName name="OSRRefD21_10x_3" localSheetId="71">'310 &amp; 491'!$G$67</definedName>
    <definedName name="OSRRefD21_10x_3" localSheetId="54">'311'!$G$75:$G$76</definedName>
    <definedName name="OSRRefD21_10x_3" localSheetId="57">'315'!$G$81</definedName>
    <definedName name="OSRRefD21_10x_3" localSheetId="60">'316'!$G$68</definedName>
    <definedName name="OSRRefD21_10x_3" localSheetId="66">'321'!$G$65</definedName>
    <definedName name="OSRRefD21_10x_3" localSheetId="68">'325'!$G$62</definedName>
    <definedName name="OSRRefD21_10x_3" localSheetId="58">'326'!$G$64</definedName>
    <definedName name="OSRRefD21_10x_3" localSheetId="51">'330'!$G$70:$G$71</definedName>
    <definedName name="OSRRefD21_10x_3" localSheetId="56">'331'!$G$81</definedName>
    <definedName name="OSRRefD21_10x_3" localSheetId="59">'332'!$G$68</definedName>
    <definedName name="OSRRefD21_10x_3" localSheetId="73">'405'!$G$65:$G$67</definedName>
    <definedName name="OSRRefD21_10x_3" localSheetId="75">'411'!$G$61</definedName>
    <definedName name="OSRRefD21_10x_3" localSheetId="79">'415'!$G$64</definedName>
    <definedName name="OSRRefD21_10x_3" localSheetId="80">'418'!$G$65</definedName>
    <definedName name="OSRRefD21_10x_3" localSheetId="87">'433'!$G$64</definedName>
    <definedName name="OSRRefD21_10x_3" localSheetId="88">'444'!$G$64</definedName>
    <definedName name="OSRRefD21_10x_3" localSheetId="89">'450'!$G$64</definedName>
    <definedName name="OSRRefD21_10x_3" localSheetId="72">'491'!$G$66</definedName>
    <definedName name="OSRRefD21_10x_3" localSheetId="85">'492'!$G$64</definedName>
    <definedName name="OSRRefD21_10x_3" localSheetId="91">'501'!$G$60</definedName>
    <definedName name="OSRRefD21_10x_3" localSheetId="39">'Div 2'!$G$59</definedName>
    <definedName name="OSRRefD21_10x_3" localSheetId="47">'Div 3'!$G$97:$G$98</definedName>
    <definedName name="OSRRefD21_10x_3" localSheetId="70">'Div 4'!$G$68</definedName>
    <definedName name="OSRRefD21_10x_3" localSheetId="90">'Div 5'!$G$60</definedName>
    <definedName name="OSRRefD21_10x_3" localSheetId="2">Summary!$G$105:$G$106</definedName>
    <definedName name="OSRRefD21_10x_4" localSheetId="41">'201'!$H$58:$H$59</definedName>
    <definedName name="OSRRefD21_10x_4" localSheetId="42">'202'!$H$58</definedName>
    <definedName name="OSRRefD21_10x_4" localSheetId="43">'203'!$H$60</definedName>
    <definedName name="OSRRefD21_10x_4" localSheetId="48">'300'!$H$93:$H$94</definedName>
    <definedName name="OSRRefD21_10x_4" localSheetId="49">'300 &amp; 317'!$H$99:$H$100</definedName>
    <definedName name="OSRRefD21_10x_4" localSheetId="50">'301'!$H$60</definedName>
    <definedName name="OSRRefD21_10x_4" localSheetId="52">'307'!$H$70:$H$71</definedName>
    <definedName name="OSRRefD21_10x_4" localSheetId="53">'308'!$H$75:$H$76</definedName>
    <definedName name="OSRRefD21_10x_4" localSheetId="63">'310'!$H$64</definedName>
    <definedName name="OSRRefD21_10x_4" localSheetId="71">'310 &amp; 491'!$H$67</definedName>
    <definedName name="OSRRefD21_10x_4" localSheetId="54">'311'!$H$75:$H$76</definedName>
    <definedName name="OSRRefD21_10x_4" localSheetId="57">'315'!$H$81</definedName>
    <definedName name="OSRRefD21_10x_4" localSheetId="60">'316'!$H$68</definedName>
    <definedName name="OSRRefD21_10x_4" localSheetId="66">'321'!$H$65</definedName>
    <definedName name="OSRRefD21_10x_4" localSheetId="68">'325'!$H$62</definedName>
    <definedName name="OSRRefD21_10x_4" localSheetId="58">'326'!$H$64</definedName>
    <definedName name="OSRRefD21_10x_4" localSheetId="51">'330'!$H$70:$H$71</definedName>
    <definedName name="OSRRefD21_10x_4" localSheetId="56">'331'!$H$81</definedName>
    <definedName name="OSRRefD21_10x_4" localSheetId="59">'332'!$H$68</definedName>
    <definedName name="OSRRefD21_10x_4" localSheetId="73">'405'!$H$65:$H$67</definedName>
    <definedName name="OSRRefD21_10x_4" localSheetId="75">'411'!$H$61</definedName>
    <definedName name="OSRRefD21_10x_4" localSheetId="79">'415'!$H$64</definedName>
    <definedName name="OSRRefD21_10x_4" localSheetId="80">'418'!$H$65</definedName>
    <definedName name="OSRRefD21_10x_4" localSheetId="87">'433'!$H$64</definedName>
    <definedName name="OSRRefD21_10x_4" localSheetId="88">'444'!$H$64</definedName>
    <definedName name="OSRRefD21_10x_4" localSheetId="89">'450'!$H$64</definedName>
    <definedName name="OSRRefD21_10x_4" localSheetId="72">'491'!$H$66</definedName>
    <definedName name="OSRRefD21_10x_4" localSheetId="85">'492'!$H$64</definedName>
    <definedName name="OSRRefD21_10x_4" localSheetId="91">'501'!$H$60</definedName>
    <definedName name="OSRRefD21_10x_4" localSheetId="39">'Div 2'!$H$59</definedName>
    <definedName name="OSRRefD21_10x_4" localSheetId="47">'Div 3'!$H$97:$H$98</definedName>
    <definedName name="OSRRefD21_10x_4" localSheetId="70">'Div 4'!$H$68</definedName>
    <definedName name="OSRRefD21_10x_4" localSheetId="90">'Div 5'!$H$60</definedName>
    <definedName name="OSRRefD21_10x_4" localSheetId="2">Summary!$H$105:$H$106</definedName>
    <definedName name="OSRRefD21_10x_5" localSheetId="41">'201'!$I$58:$I$59</definedName>
    <definedName name="OSRRefD21_10x_5" localSheetId="42">'202'!$I$58</definedName>
    <definedName name="OSRRefD21_10x_5" localSheetId="43">'203'!$I$60</definedName>
    <definedName name="OSRRefD21_10x_5" localSheetId="48">'300'!$I$93:$I$94</definedName>
    <definedName name="OSRRefD21_10x_5" localSheetId="49">'300 &amp; 317'!$I$99:$I$100</definedName>
    <definedName name="OSRRefD21_10x_5" localSheetId="50">'301'!$I$60</definedName>
    <definedName name="OSRRefD21_10x_5" localSheetId="52">'307'!$I$70:$I$71</definedName>
    <definedName name="OSRRefD21_10x_5" localSheetId="53">'308'!$I$75:$I$76</definedName>
    <definedName name="OSRRefD21_10x_5" localSheetId="63">'310'!$I$64</definedName>
    <definedName name="OSRRefD21_10x_5" localSheetId="71">'310 &amp; 491'!$I$67</definedName>
    <definedName name="OSRRefD21_10x_5" localSheetId="54">'311'!$I$75:$I$76</definedName>
    <definedName name="OSRRefD21_10x_5" localSheetId="57">'315'!$I$81</definedName>
    <definedName name="OSRRefD21_10x_5" localSheetId="60">'316'!$I$68</definedName>
    <definedName name="OSRRefD21_10x_5" localSheetId="66">'321'!$I$65</definedName>
    <definedName name="OSRRefD21_10x_5" localSheetId="68">'325'!$I$62</definedName>
    <definedName name="OSRRefD21_10x_5" localSheetId="58">'326'!$I$64</definedName>
    <definedName name="OSRRefD21_10x_5" localSheetId="51">'330'!$I$70:$I$71</definedName>
    <definedName name="OSRRefD21_10x_5" localSheetId="56">'331'!$I$81</definedName>
    <definedName name="OSRRefD21_10x_5" localSheetId="59">'332'!$I$68</definedName>
    <definedName name="OSRRefD21_10x_5" localSheetId="73">'405'!$I$65:$I$67</definedName>
    <definedName name="OSRRefD21_10x_5" localSheetId="75">'411'!$I$61</definedName>
    <definedName name="OSRRefD21_10x_5" localSheetId="79">'415'!$I$64</definedName>
    <definedName name="OSRRefD21_10x_5" localSheetId="80">'418'!$I$65</definedName>
    <definedName name="OSRRefD21_10x_5" localSheetId="87">'433'!$I$64</definedName>
    <definedName name="OSRRefD21_10x_5" localSheetId="88">'444'!$I$64</definedName>
    <definedName name="OSRRefD21_10x_5" localSheetId="89">'450'!$I$64</definedName>
    <definedName name="OSRRefD21_10x_5" localSheetId="72">'491'!$I$66</definedName>
    <definedName name="OSRRefD21_10x_5" localSheetId="85">'492'!$I$64</definedName>
    <definedName name="OSRRefD21_10x_5" localSheetId="91">'501'!$I$60</definedName>
    <definedName name="OSRRefD21_10x_5" localSheetId="39">'Div 2'!$I$59</definedName>
    <definedName name="OSRRefD21_10x_5" localSheetId="47">'Div 3'!$I$97:$I$98</definedName>
    <definedName name="OSRRefD21_10x_5" localSheetId="70">'Div 4'!$I$68</definedName>
    <definedName name="OSRRefD21_10x_5" localSheetId="90">'Div 5'!$I$60</definedName>
    <definedName name="OSRRefD21_10x_5" localSheetId="2">Summary!$I$105:$I$106</definedName>
    <definedName name="OSRRefD21_11_0x" localSheetId="41">'201'!$D$61:$I$61</definedName>
    <definedName name="OSRRefD21_11_0x" localSheetId="42">'202'!$D$60:$I$60</definedName>
    <definedName name="OSRRefD21_11_0x" localSheetId="43">'203'!$D$62:$I$62</definedName>
    <definedName name="OSRRefD21_11_0x" localSheetId="48">'300'!$D$96:$I$96</definedName>
    <definedName name="OSRRefD21_11_0x" localSheetId="49">'300 &amp; 317'!$D$102:$I$102</definedName>
    <definedName name="OSRRefD21_11_0x" localSheetId="50">'301'!$D$62:$I$62</definedName>
    <definedName name="OSRRefD21_11_0x" localSheetId="52">'307'!$D$73:$I$73</definedName>
    <definedName name="OSRRefD21_11_0x" localSheetId="53">'308'!$D$78:$I$78</definedName>
    <definedName name="OSRRefD21_11_0x" localSheetId="63">'310'!$D$66:$I$66</definedName>
    <definedName name="OSRRefD21_11_0x" localSheetId="71">'310 &amp; 491'!$D$69:$I$69</definedName>
    <definedName name="OSRRefD21_11_0x" localSheetId="54">'311'!$D$78:$I$78</definedName>
    <definedName name="OSRRefD21_11_0x" localSheetId="57">'315'!$D$83:$I$83</definedName>
    <definedName name="OSRRefD21_11_0x" localSheetId="66">'321'!$D$67:$I$67</definedName>
    <definedName name="OSRRefD21_11_0x" localSheetId="68">'325'!$D$64:$I$64</definedName>
    <definedName name="OSRRefD21_11_0x" localSheetId="58">'326'!$D$66:$I$66</definedName>
    <definedName name="OSRRefD21_11_0x" localSheetId="51">'330'!$D$73:$I$73</definedName>
    <definedName name="OSRRefD21_11_0x" localSheetId="56">'331'!$D$83:$I$83</definedName>
    <definedName name="OSRRefD21_11_0x" localSheetId="73">'405'!$D$69:$I$69</definedName>
    <definedName name="OSRRefD21_11_0x" localSheetId="75">'411'!$D$63:$I$63</definedName>
    <definedName name="OSRRefD21_11_0x" localSheetId="79">'415'!$D$66:$I$66</definedName>
    <definedName name="OSRRefD21_11_0x" localSheetId="80">'418'!$D$67:$I$67</definedName>
    <definedName name="OSRRefD21_11_0x" localSheetId="87">'433'!$D$66:$I$66</definedName>
    <definedName name="OSRRefD21_11_0x" localSheetId="88">'444'!$D$66:$I$66</definedName>
    <definedName name="OSRRefD21_11_0x" localSheetId="89">'450'!$D$66:$I$66</definedName>
    <definedName name="OSRRefD21_11_0x" localSheetId="72">'491'!$D$68:$I$68</definedName>
    <definedName name="OSRRefD21_11_0x" localSheetId="85">'492'!$D$66:$I$66</definedName>
    <definedName name="OSRRefD21_11_0x" localSheetId="91">'501'!$D$62:$I$62</definedName>
    <definedName name="OSRRefD21_11_0x" localSheetId="39">'Div 2'!$D$61:$I$61</definedName>
    <definedName name="OSRRefD21_11_0x" localSheetId="47">'Div 3'!$D$100:$I$100</definedName>
    <definedName name="OSRRefD21_11_0x" localSheetId="70">'Div 4'!$D$70:$I$70</definedName>
    <definedName name="OSRRefD21_11_0x" localSheetId="90">'Div 5'!$D$62:$I$62</definedName>
    <definedName name="OSRRefD21_11_0x" localSheetId="2">Summary!$D$108:$I$108</definedName>
    <definedName name="OSRRefD21_11_1x" localSheetId="43">'203'!$D$63:$I$63</definedName>
    <definedName name="OSRRefD21_11_1x" localSheetId="52">'307'!$D$74:$I$74</definedName>
    <definedName name="OSRRefD21_11_1x" localSheetId="53">'308'!$D$79:$I$79</definedName>
    <definedName name="OSRRefD21_11_1x" localSheetId="63">'310'!$D$67:$I$67</definedName>
    <definedName name="OSRRefD21_11_1x" localSheetId="54">'311'!$D$79:$I$79</definedName>
    <definedName name="OSRRefD21_11_1x" localSheetId="68">'325'!$D$65:$I$65</definedName>
    <definedName name="OSRRefD21_11_1x" localSheetId="58">'326'!$D$67:$I$67</definedName>
    <definedName name="OSRRefD21_11_1x" localSheetId="51">'330'!$D$74:$I$74</definedName>
    <definedName name="OSRRefD21_11_1x" localSheetId="79">'415'!$D$67:$I$67</definedName>
    <definedName name="OSRRefD21_11_1x" localSheetId="80">'418'!$D$68:$I$68</definedName>
    <definedName name="OSRRefD21_11_1x" localSheetId="87">'433'!$D$67:$I$67</definedName>
    <definedName name="OSRRefD21_11_1x" localSheetId="88">'444'!$D$67:$I$67</definedName>
    <definedName name="OSRRefD21_11_1x" localSheetId="89">'450'!$D$67:$I$67</definedName>
    <definedName name="OSRRefD21_11_1x" localSheetId="91">'501'!$D$63:$I$63</definedName>
    <definedName name="OSRRefD21_11_1x" localSheetId="90">'Div 5'!$D$63:$I$63</definedName>
    <definedName name="OSRRefD21_11_1x" localSheetId="2">Summary!$D$109:$I$109</definedName>
    <definedName name="OSRRefD21_11_2x" localSheetId="43">'203'!$D$64:$I$64</definedName>
    <definedName name="OSRRefD21_11_2x" localSheetId="52">'307'!$D$75:$I$75</definedName>
    <definedName name="OSRRefD21_11_2x" localSheetId="51">'330'!$D$75:$I$75</definedName>
    <definedName name="OSRRefD21_11_2x" localSheetId="80">'418'!$D$69:$I$69</definedName>
    <definedName name="OSRRefD21_11_2x" localSheetId="87">'433'!$D$68:$I$68</definedName>
    <definedName name="OSRRefD21_11_2x" localSheetId="91">'501'!$D$64:$I$64</definedName>
    <definedName name="OSRRefD21_11_2x" localSheetId="90">'Div 5'!$D$64:$I$64</definedName>
    <definedName name="OSRRefD21_11_3x" localSheetId="43">'203'!$D$65:$I$65</definedName>
    <definedName name="OSRRefD21_11_3x" localSheetId="52">'307'!$D$76:$I$76</definedName>
    <definedName name="OSRRefD21_11_3x" localSheetId="51">'330'!$D$76:$I$76</definedName>
    <definedName name="OSRRefD21_11_3x" localSheetId="80">'418'!$D$70:$I$70</definedName>
    <definedName name="OSRRefD21_11_4x" localSheetId="80">'418'!$D$71:$I$71</definedName>
    <definedName name="OSRRefD21_11_5x" localSheetId="80">'418'!$D$72:$I$72</definedName>
    <definedName name="OSRRefD21_11_6x" localSheetId="80">'418'!$D$73:$I$73</definedName>
    <definedName name="OSRRefD21_11x_0" localSheetId="41">'201'!$D$61</definedName>
    <definedName name="OSRRefD21_11x_0" localSheetId="42">'202'!$D$60</definedName>
    <definedName name="OSRRefD21_11x_0" localSheetId="43">'203'!$D$62:$D$65</definedName>
    <definedName name="OSRRefD21_11x_0" localSheetId="48">'300'!$D$96</definedName>
    <definedName name="OSRRefD21_11x_0" localSheetId="49">'300 &amp; 317'!$D$102</definedName>
    <definedName name="OSRRefD21_11x_0" localSheetId="50">'301'!$D$62</definedName>
    <definedName name="OSRRefD21_11x_0" localSheetId="52">'307'!$D$73:$D$76</definedName>
    <definedName name="OSRRefD21_11x_0" localSheetId="53">'308'!$D$78:$D$79</definedName>
    <definedName name="OSRRefD21_11x_0" localSheetId="63">'310'!$D$66:$D$67</definedName>
    <definedName name="OSRRefD21_11x_0" localSheetId="71">'310 &amp; 491'!$D$69</definedName>
    <definedName name="OSRRefD21_11x_0" localSheetId="54">'311'!$D$78:$D$79</definedName>
    <definedName name="OSRRefD21_11x_0" localSheetId="57">'315'!$D$83</definedName>
    <definedName name="OSRRefD21_11x_0" localSheetId="66">'321'!$D$67</definedName>
    <definedName name="OSRRefD21_11x_0" localSheetId="68">'325'!$D$64:$D$65</definedName>
    <definedName name="OSRRefD21_11x_0" localSheetId="58">'326'!$D$66:$D$67</definedName>
    <definedName name="OSRRefD21_11x_0" localSheetId="51">'330'!$D$73:$D$76</definedName>
    <definedName name="OSRRefD21_11x_0" localSheetId="56">'331'!$D$83</definedName>
    <definedName name="OSRRefD21_11x_0" localSheetId="73">'405'!$D$69</definedName>
    <definedName name="OSRRefD21_11x_0" localSheetId="75">'411'!$D$63</definedName>
    <definedName name="OSRRefD21_11x_0" localSheetId="79">'415'!$D$66:$D$67</definedName>
    <definedName name="OSRRefD21_11x_0" localSheetId="80">'418'!$D$67:$D$73</definedName>
    <definedName name="OSRRefD21_11x_0" localSheetId="87">'433'!$D$66:$D$68</definedName>
    <definedName name="OSRRefD21_11x_0" localSheetId="88">'444'!$D$66:$D$67</definedName>
    <definedName name="OSRRefD21_11x_0" localSheetId="89">'450'!$D$66:$D$67</definedName>
    <definedName name="OSRRefD21_11x_0" localSheetId="72">'491'!$D$68</definedName>
    <definedName name="OSRRefD21_11x_0" localSheetId="85">'492'!$D$66</definedName>
    <definedName name="OSRRefD21_11x_0" localSheetId="91">'501'!$D$62:$D$64</definedName>
    <definedName name="OSRRefD21_11x_0" localSheetId="39">'Div 2'!$D$61</definedName>
    <definedName name="OSRRefD21_11x_0" localSheetId="47">'Div 3'!$D$100</definedName>
    <definedName name="OSRRefD21_11x_0" localSheetId="70">'Div 4'!$D$70</definedName>
    <definedName name="OSRRefD21_11x_0" localSheetId="90">'Div 5'!$D$62:$D$64</definedName>
    <definedName name="OSRRefD21_11x_0" localSheetId="2">Summary!$D$108:$D$109</definedName>
    <definedName name="OSRRefD21_11x_1" localSheetId="41">'201'!$E$61</definedName>
    <definedName name="OSRRefD21_11x_1" localSheetId="42">'202'!$E$60</definedName>
    <definedName name="OSRRefD21_11x_1" localSheetId="43">'203'!$E$62:$E$65</definedName>
    <definedName name="OSRRefD21_11x_1" localSheetId="48">'300'!$E$96</definedName>
    <definedName name="OSRRefD21_11x_1" localSheetId="49">'300 &amp; 317'!$E$102</definedName>
    <definedName name="OSRRefD21_11x_1" localSheetId="50">'301'!$E$62</definedName>
    <definedName name="OSRRefD21_11x_1" localSheetId="52">'307'!$E$73:$E$76</definedName>
    <definedName name="OSRRefD21_11x_1" localSheetId="53">'308'!$E$78:$E$79</definedName>
    <definedName name="OSRRefD21_11x_1" localSheetId="63">'310'!$E$66:$E$67</definedName>
    <definedName name="OSRRefD21_11x_1" localSheetId="71">'310 &amp; 491'!$E$69</definedName>
    <definedName name="OSRRefD21_11x_1" localSheetId="54">'311'!$E$78:$E$79</definedName>
    <definedName name="OSRRefD21_11x_1" localSheetId="57">'315'!$E$83</definedName>
    <definedName name="OSRRefD21_11x_1" localSheetId="66">'321'!$E$67</definedName>
    <definedName name="OSRRefD21_11x_1" localSheetId="68">'325'!$E$64:$E$65</definedName>
    <definedName name="OSRRefD21_11x_1" localSheetId="58">'326'!$E$66:$E$67</definedName>
    <definedName name="OSRRefD21_11x_1" localSheetId="51">'330'!$E$73:$E$76</definedName>
    <definedName name="OSRRefD21_11x_1" localSheetId="56">'331'!$E$83</definedName>
    <definedName name="OSRRefD21_11x_1" localSheetId="73">'405'!$E$69</definedName>
    <definedName name="OSRRefD21_11x_1" localSheetId="75">'411'!$E$63</definedName>
    <definedName name="OSRRefD21_11x_1" localSheetId="79">'415'!$E$66:$E$67</definedName>
    <definedName name="OSRRefD21_11x_1" localSheetId="80">'418'!$E$67:$E$73</definedName>
    <definedName name="OSRRefD21_11x_1" localSheetId="87">'433'!$E$66:$E$68</definedName>
    <definedName name="OSRRefD21_11x_1" localSheetId="88">'444'!$E$66:$E$67</definedName>
    <definedName name="OSRRefD21_11x_1" localSheetId="89">'450'!$E$66:$E$67</definedName>
    <definedName name="OSRRefD21_11x_1" localSheetId="72">'491'!$E$68</definedName>
    <definedName name="OSRRefD21_11x_1" localSheetId="85">'492'!$E$66</definedName>
    <definedName name="OSRRefD21_11x_1" localSheetId="91">'501'!$E$62:$E$64</definedName>
    <definedName name="OSRRefD21_11x_1" localSheetId="39">'Div 2'!$E$61</definedName>
    <definedName name="OSRRefD21_11x_1" localSheetId="47">'Div 3'!$E$100</definedName>
    <definedName name="OSRRefD21_11x_1" localSheetId="70">'Div 4'!$E$70</definedName>
    <definedName name="OSRRefD21_11x_1" localSheetId="90">'Div 5'!$E$62:$E$64</definedName>
    <definedName name="OSRRefD21_11x_1" localSheetId="2">Summary!$E$108:$E$109</definedName>
    <definedName name="OSRRefD21_11x_2" localSheetId="41">'201'!$F$61</definedName>
    <definedName name="OSRRefD21_11x_2" localSheetId="42">'202'!$F$60</definedName>
    <definedName name="OSRRefD21_11x_2" localSheetId="43">'203'!$F$62:$F$65</definedName>
    <definedName name="OSRRefD21_11x_2" localSheetId="48">'300'!$F$96</definedName>
    <definedName name="OSRRefD21_11x_2" localSheetId="49">'300 &amp; 317'!$F$102</definedName>
    <definedName name="OSRRefD21_11x_2" localSheetId="50">'301'!$F$62</definedName>
    <definedName name="OSRRefD21_11x_2" localSheetId="52">'307'!$F$73:$F$76</definedName>
    <definedName name="OSRRefD21_11x_2" localSheetId="53">'308'!$F$78:$F$79</definedName>
    <definedName name="OSRRefD21_11x_2" localSheetId="63">'310'!$F$66:$F$67</definedName>
    <definedName name="OSRRefD21_11x_2" localSheetId="71">'310 &amp; 491'!$F$69</definedName>
    <definedName name="OSRRefD21_11x_2" localSheetId="54">'311'!$F$78:$F$79</definedName>
    <definedName name="OSRRefD21_11x_2" localSheetId="57">'315'!$F$83</definedName>
    <definedName name="OSRRefD21_11x_2" localSheetId="66">'321'!$F$67</definedName>
    <definedName name="OSRRefD21_11x_2" localSheetId="68">'325'!$F$64:$F$65</definedName>
    <definedName name="OSRRefD21_11x_2" localSheetId="58">'326'!$F$66:$F$67</definedName>
    <definedName name="OSRRefD21_11x_2" localSheetId="51">'330'!$F$73:$F$76</definedName>
    <definedName name="OSRRefD21_11x_2" localSheetId="56">'331'!$F$83</definedName>
    <definedName name="OSRRefD21_11x_2" localSheetId="73">'405'!$F$69</definedName>
    <definedName name="OSRRefD21_11x_2" localSheetId="75">'411'!$F$63</definedName>
    <definedName name="OSRRefD21_11x_2" localSheetId="79">'415'!$F$66:$F$67</definedName>
    <definedName name="OSRRefD21_11x_2" localSheetId="80">'418'!$F$67:$F$73</definedName>
    <definedName name="OSRRefD21_11x_2" localSheetId="87">'433'!$F$66:$F$68</definedName>
    <definedName name="OSRRefD21_11x_2" localSheetId="88">'444'!$F$66:$F$67</definedName>
    <definedName name="OSRRefD21_11x_2" localSheetId="89">'450'!$F$66:$F$67</definedName>
    <definedName name="OSRRefD21_11x_2" localSheetId="72">'491'!$F$68</definedName>
    <definedName name="OSRRefD21_11x_2" localSheetId="85">'492'!$F$66</definedName>
    <definedName name="OSRRefD21_11x_2" localSheetId="91">'501'!$F$62:$F$64</definedName>
    <definedName name="OSRRefD21_11x_2" localSheetId="39">'Div 2'!$F$61</definedName>
    <definedName name="OSRRefD21_11x_2" localSheetId="47">'Div 3'!$F$100</definedName>
    <definedName name="OSRRefD21_11x_2" localSheetId="70">'Div 4'!$F$70</definedName>
    <definedName name="OSRRefD21_11x_2" localSheetId="90">'Div 5'!$F$62:$F$64</definedName>
    <definedName name="OSRRefD21_11x_2" localSheetId="2">Summary!$F$108:$F$109</definedName>
    <definedName name="OSRRefD21_11x_3" localSheetId="41">'201'!$G$61</definedName>
    <definedName name="OSRRefD21_11x_3" localSheetId="42">'202'!$G$60</definedName>
    <definedName name="OSRRefD21_11x_3" localSheetId="43">'203'!$G$62:$G$65</definedName>
    <definedName name="OSRRefD21_11x_3" localSheetId="48">'300'!$G$96</definedName>
    <definedName name="OSRRefD21_11x_3" localSheetId="49">'300 &amp; 317'!$G$102</definedName>
    <definedName name="OSRRefD21_11x_3" localSheetId="50">'301'!$G$62</definedName>
    <definedName name="OSRRefD21_11x_3" localSheetId="52">'307'!$G$73:$G$76</definedName>
    <definedName name="OSRRefD21_11x_3" localSheetId="53">'308'!$G$78:$G$79</definedName>
    <definedName name="OSRRefD21_11x_3" localSheetId="63">'310'!$G$66:$G$67</definedName>
    <definedName name="OSRRefD21_11x_3" localSheetId="71">'310 &amp; 491'!$G$69</definedName>
    <definedName name="OSRRefD21_11x_3" localSheetId="54">'311'!$G$78:$G$79</definedName>
    <definedName name="OSRRefD21_11x_3" localSheetId="57">'315'!$G$83</definedName>
    <definedName name="OSRRefD21_11x_3" localSheetId="66">'321'!$G$67</definedName>
    <definedName name="OSRRefD21_11x_3" localSheetId="68">'325'!$G$64:$G$65</definedName>
    <definedName name="OSRRefD21_11x_3" localSheetId="58">'326'!$G$66:$G$67</definedName>
    <definedName name="OSRRefD21_11x_3" localSheetId="51">'330'!$G$73:$G$76</definedName>
    <definedName name="OSRRefD21_11x_3" localSheetId="56">'331'!$G$83</definedName>
    <definedName name="OSRRefD21_11x_3" localSheetId="73">'405'!$G$69</definedName>
    <definedName name="OSRRefD21_11x_3" localSheetId="75">'411'!$G$63</definedName>
    <definedName name="OSRRefD21_11x_3" localSheetId="79">'415'!$G$66:$G$67</definedName>
    <definedName name="OSRRefD21_11x_3" localSheetId="80">'418'!$G$67:$G$73</definedName>
    <definedName name="OSRRefD21_11x_3" localSheetId="87">'433'!$G$66:$G$68</definedName>
    <definedName name="OSRRefD21_11x_3" localSheetId="88">'444'!$G$66:$G$67</definedName>
    <definedName name="OSRRefD21_11x_3" localSheetId="89">'450'!$G$66:$G$67</definedName>
    <definedName name="OSRRefD21_11x_3" localSheetId="72">'491'!$G$68</definedName>
    <definedName name="OSRRefD21_11x_3" localSheetId="85">'492'!$G$66</definedName>
    <definedName name="OSRRefD21_11x_3" localSheetId="91">'501'!$G$62:$G$64</definedName>
    <definedName name="OSRRefD21_11x_3" localSheetId="39">'Div 2'!$G$61</definedName>
    <definedName name="OSRRefD21_11x_3" localSheetId="47">'Div 3'!$G$100</definedName>
    <definedName name="OSRRefD21_11x_3" localSheetId="70">'Div 4'!$G$70</definedName>
    <definedName name="OSRRefD21_11x_3" localSheetId="90">'Div 5'!$G$62:$G$64</definedName>
    <definedName name="OSRRefD21_11x_3" localSheetId="2">Summary!$G$108:$G$109</definedName>
    <definedName name="OSRRefD21_11x_4" localSheetId="41">'201'!$H$61</definedName>
    <definedName name="OSRRefD21_11x_4" localSheetId="42">'202'!$H$60</definedName>
    <definedName name="OSRRefD21_11x_4" localSheetId="43">'203'!$H$62:$H$65</definedName>
    <definedName name="OSRRefD21_11x_4" localSheetId="48">'300'!$H$96</definedName>
    <definedName name="OSRRefD21_11x_4" localSheetId="49">'300 &amp; 317'!$H$102</definedName>
    <definedName name="OSRRefD21_11x_4" localSheetId="50">'301'!$H$62</definedName>
    <definedName name="OSRRefD21_11x_4" localSheetId="52">'307'!$H$73:$H$76</definedName>
    <definedName name="OSRRefD21_11x_4" localSheetId="53">'308'!$H$78:$H$79</definedName>
    <definedName name="OSRRefD21_11x_4" localSheetId="63">'310'!$H$66:$H$67</definedName>
    <definedName name="OSRRefD21_11x_4" localSheetId="71">'310 &amp; 491'!$H$69</definedName>
    <definedName name="OSRRefD21_11x_4" localSheetId="54">'311'!$H$78:$H$79</definedName>
    <definedName name="OSRRefD21_11x_4" localSheetId="57">'315'!$H$83</definedName>
    <definedName name="OSRRefD21_11x_4" localSheetId="66">'321'!$H$67</definedName>
    <definedName name="OSRRefD21_11x_4" localSheetId="68">'325'!$H$64:$H$65</definedName>
    <definedName name="OSRRefD21_11x_4" localSheetId="58">'326'!$H$66:$H$67</definedName>
    <definedName name="OSRRefD21_11x_4" localSheetId="51">'330'!$H$73:$H$76</definedName>
    <definedName name="OSRRefD21_11x_4" localSheetId="56">'331'!$H$83</definedName>
    <definedName name="OSRRefD21_11x_4" localSheetId="73">'405'!$H$69</definedName>
    <definedName name="OSRRefD21_11x_4" localSheetId="75">'411'!$H$63</definedName>
    <definedName name="OSRRefD21_11x_4" localSheetId="79">'415'!$H$66:$H$67</definedName>
    <definedName name="OSRRefD21_11x_4" localSheetId="80">'418'!$H$67:$H$73</definedName>
    <definedName name="OSRRefD21_11x_4" localSheetId="87">'433'!$H$66:$H$68</definedName>
    <definedName name="OSRRefD21_11x_4" localSheetId="88">'444'!$H$66:$H$67</definedName>
    <definedName name="OSRRefD21_11x_4" localSheetId="89">'450'!$H$66:$H$67</definedName>
    <definedName name="OSRRefD21_11x_4" localSheetId="72">'491'!$H$68</definedName>
    <definedName name="OSRRefD21_11x_4" localSheetId="85">'492'!$H$66</definedName>
    <definedName name="OSRRefD21_11x_4" localSheetId="91">'501'!$H$62:$H$64</definedName>
    <definedName name="OSRRefD21_11x_4" localSheetId="39">'Div 2'!$H$61</definedName>
    <definedName name="OSRRefD21_11x_4" localSheetId="47">'Div 3'!$H$100</definedName>
    <definedName name="OSRRefD21_11x_4" localSheetId="70">'Div 4'!$H$70</definedName>
    <definedName name="OSRRefD21_11x_4" localSheetId="90">'Div 5'!$H$62:$H$64</definedName>
    <definedName name="OSRRefD21_11x_4" localSheetId="2">Summary!$H$108:$H$109</definedName>
    <definedName name="OSRRefD21_11x_5" localSheetId="41">'201'!$I$61</definedName>
    <definedName name="OSRRefD21_11x_5" localSheetId="42">'202'!$I$60</definedName>
    <definedName name="OSRRefD21_11x_5" localSheetId="43">'203'!$I$62:$I$65</definedName>
    <definedName name="OSRRefD21_11x_5" localSheetId="48">'300'!$I$96</definedName>
    <definedName name="OSRRefD21_11x_5" localSheetId="49">'300 &amp; 317'!$I$102</definedName>
    <definedName name="OSRRefD21_11x_5" localSheetId="50">'301'!$I$62</definedName>
    <definedName name="OSRRefD21_11x_5" localSheetId="52">'307'!$I$73:$I$76</definedName>
    <definedName name="OSRRefD21_11x_5" localSheetId="53">'308'!$I$78:$I$79</definedName>
    <definedName name="OSRRefD21_11x_5" localSheetId="63">'310'!$I$66:$I$67</definedName>
    <definedName name="OSRRefD21_11x_5" localSheetId="71">'310 &amp; 491'!$I$69</definedName>
    <definedName name="OSRRefD21_11x_5" localSheetId="54">'311'!$I$78:$I$79</definedName>
    <definedName name="OSRRefD21_11x_5" localSheetId="57">'315'!$I$83</definedName>
    <definedName name="OSRRefD21_11x_5" localSheetId="66">'321'!$I$67</definedName>
    <definedName name="OSRRefD21_11x_5" localSheetId="68">'325'!$I$64:$I$65</definedName>
    <definedName name="OSRRefD21_11x_5" localSheetId="58">'326'!$I$66:$I$67</definedName>
    <definedName name="OSRRefD21_11x_5" localSheetId="51">'330'!$I$73:$I$76</definedName>
    <definedName name="OSRRefD21_11x_5" localSheetId="56">'331'!$I$83</definedName>
    <definedName name="OSRRefD21_11x_5" localSheetId="73">'405'!$I$69</definedName>
    <definedName name="OSRRefD21_11x_5" localSheetId="75">'411'!$I$63</definedName>
    <definedName name="OSRRefD21_11x_5" localSheetId="79">'415'!$I$66:$I$67</definedName>
    <definedName name="OSRRefD21_11x_5" localSheetId="80">'418'!$I$67:$I$73</definedName>
    <definedName name="OSRRefD21_11x_5" localSheetId="87">'433'!$I$66:$I$68</definedName>
    <definedName name="OSRRefD21_11x_5" localSheetId="88">'444'!$I$66:$I$67</definedName>
    <definedName name="OSRRefD21_11x_5" localSheetId="89">'450'!$I$66:$I$67</definedName>
    <definedName name="OSRRefD21_11x_5" localSheetId="72">'491'!$I$68</definedName>
    <definedName name="OSRRefD21_11x_5" localSheetId="85">'492'!$I$66</definedName>
    <definedName name="OSRRefD21_11x_5" localSheetId="91">'501'!$I$62:$I$64</definedName>
    <definedName name="OSRRefD21_11x_5" localSheetId="39">'Div 2'!$I$61</definedName>
    <definedName name="OSRRefD21_11x_5" localSheetId="47">'Div 3'!$I$100</definedName>
    <definedName name="OSRRefD21_11x_5" localSheetId="70">'Div 4'!$I$70</definedName>
    <definedName name="OSRRefD21_11x_5" localSheetId="90">'Div 5'!$I$62:$I$64</definedName>
    <definedName name="OSRRefD21_11x_5" localSheetId="2">Summary!$I$108:$I$109</definedName>
    <definedName name="OSRRefD21_12_0x" localSheetId="41">'201'!$D$63:$I$63</definedName>
    <definedName name="OSRRefD21_12_0x" localSheetId="42">'202'!$D$62:$I$62</definedName>
    <definedName name="OSRRefD21_12_0x" localSheetId="43">'203'!$D$67:$I$67</definedName>
    <definedName name="OSRRefD21_12_0x" localSheetId="48">'300'!$D$98:$I$98</definedName>
    <definedName name="OSRRefD21_12_0x" localSheetId="49">'300 &amp; 317'!$D$104:$I$104</definedName>
    <definedName name="OSRRefD21_12_0x" localSheetId="50">'301'!$D$64:$I$64</definedName>
    <definedName name="OSRRefD21_12_0x" localSheetId="52">'307'!$D$78:$I$78</definedName>
    <definedName name="OSRRefD21_12_0x" localSheetId="53">'308'!$D$81:$I$81</definedName>
    <definedName name="OSRRefD21_12_0x" localSheetId="63">'310'!$D$69:$I$69</definedName>
    <definedName name="OSRRefD21_12_0x" localSheetId="71">'310 &amp; 491'!$D$71:$I$71</definedName>
    <definedName name="OSRRefD21_12_0x" localSheetId="54">'311'!$D$81:$I$81</definedName>
    <definedName name="OSRRefD21_12_0x" localSheetId="57">'315'!$D$85:$I$85</definedName>
    <definedName name="OSRRefD21_12_0x" localSheetId="68">'325'!$D$67:$I$67</definedName>
    <definedName name="OSRRefD21_12_0x" localSheetId="58">'326'!$D$69:$I$69</definedName>
    <definedName name="OSRRefD21_12_0x" localSheetId="51">'330'!$D$78:$I$78</definedName>
    <definedName name="OSRRefD21_12_0x" localSheetId="56">'331'!$D$85:$I$85</definedName>
    <definedName name="OSRRefD21_12_0x" localSheetId="73">'405'!$D$71:$I$71</definedName>
    <definedName name="OSRRefD21_12_0x" localSheetId="75">'411'!$D$65:$I$65</definedName>
    <definedName name="OSRRefD21_12_0x" localSheetId="79">'415'!$D$69:$I$69</definedName>
    <definedName name="OSRRefD21_12_0x" localSheetId="80">'418'!$D$75:$I$75</definedName>
    <definedName name="OSRRefD21_12_0x" localSheetId="87">'433'!$D$70:$I$70</definedName>
    <definedName name="OSRRefD21_12_0x" localSheetId="88">'444'!$D$69:$I$69</definedName>
    <definedName name="OSRRefD21_12_0x" localSheetId="89">'450'!$D$69:$I$69</definedName>
    <definedName name="OSRRefD21_12_0x" localSheetId="72">'491'!$D$70:$I$70</definedName>
    <definedName name="OSRRefD21_12_0x" localSheetId="85">'492'!$D$68:$I$68</definedName>
    <definedName name="OSRRefD21_12_0x" localSheetId="91">'501'!$D$66:$I$66</definedName>
    <definedName name="OSRRefD21_12_0x" localSheetId="39">'Div 2'!$D$63:$I$63</definedName>
    <definedName name="OSRRefD21_12_0x" localSheetId="47">'Div 3'!$D$102:$I$102</definedName>
    <definedName name="OSRRefD21_12_0x" localSheetId="70">'Div 4'!$D$72:$I$72</definedName>
    <definedName name="OSRRefD21_12_0x" localSheetId="90">'Div 5'!$D$66:$I$66</definedName>
    <definedName name="OSRRefD21_12_0x" localSheetId="2">Summary!$D$111:$I$111</definedName>
    <definedName name="OSRRefD21_12_1x" localSheetId="41">'201'!$D$64:$I$64</definedName>
    <definedName name="OSRRefD21_12_1x" localSheetId="71">'310 &amp; 491'!$D$72:$I$72</definedName>
    <definedName name="OSRRefD21_12_1x" localSheetId="57">'315'!$D$86:$I$86</definedName>
    <definedName name="OSRRefD21_12_1x" localSheetId="68">'325'!$D$68:$I$68</definedName>
    <definedName name="OSRRefD21_12_1x" localSheetId="58">'326'!$D$70:$I$70</definedName>
    <definedName name="OSRRefD21_12_1x" localSheetId="73">'405'!$D$72:$I$72</definedName>
    <definedName name="OSRRefD21_12_1x" localSheetId="79">'415'!$D$70:$I$70</definedName>
    <definedName name="OSRRefD21_12_1x" localSheetId="80">'418'!$D$76:$I$76</definedName>
    <definedName name="OSRRefD21_12_1x" localSheetId="87">'433'!$D$71:$I$71</definedName>
    <definedName name="OSRRefD21_12_1x" localSheetId="88">'444'!$D$70:$I$70</definedName>
    <definedName name="OSRRefD21_12_1x" localSheetId="89">'450'!$D$70:$I$70</definedName>
    <definedName name="OSRRefD21_12_1x" localSheetId="72">'491'!$D$71:$I$71</definedName>
    <definedName name="OSRRefD21_12_1x" localSheetId="85">'492'!$D$69:$I$69</definedName>
    <definedName name="OSRRefD21_12_1x" localSheetId="39">'Div 2'!$D$64:$I$64</definedName>
    <definedName name="OSRRefD21_12_2x" localSheetId="71">'310 &amp; 491'!$D$73:$I$73</definedName>
    <definedName name="OSRRefD21_12_2x" localSheetId="68">'325'!$D$69:$I$69</definedName>
    <definedName name="OSRRefD21_12_2x" localSheetId="73">'405'!$D$73:$I$73</definedName>
    <definedName name="OSRRefD21_12_2x" localSheetId="79">'415'!$D$71:$I$71</definedName>
    <definedName name="OSRRefD21_12_2x" localSheetId="87">'433'!$D$72:$I$72</definedName>
    <definedName name="OSRRefD21_12_2x" localSheetId="88">'444'!$D$71:$I$71</definedName>
    <definedName name="OSRRefD21_12_2x" localSheetId="89">'450'!$D$71:$I$71</definedName>
    <definedName name="OSRRefD21_12_2x" localSheetId="72">'491'!$D$72:$I$72</definedName>
    <definedName name="OSRRefD21_12_2x" localSheetId="85">'492'!$D$70:$I$70</definedName>
    <definedName name="OSRRefD21_12_2x" localSheetId="39">'Div 2'!$D$65:$I$65</definedName>
    <definedName name="OSRRefD21_12_3x" localSheetId="71">'310 &amp; 491'!$D$74:$I$74</definedName>
    <definedName name="OSRRefD21_12_3x" localSheetId="73">'405'!$D$74:$I$74</definedName>
    <definedName name="OSRRefD21_12_3x" localSheetId="79">'415'!$D$72:$I$72</definedName>
    <definedName name="OSRRefD21_12_3x" localSheetId="87">'433'!$D$73:$I$73</definedName>
    <definedName name="OSRRefD21_12_3x" localSheetId="88">'444'!$D$72:$I$72</definedName>
    <definedName name="OSRRefD21_12_3x" localSheetId="89">'450'!$D$72:$I$72</definedName>
    <definedName name="OSRRefD21_12_3x" localSheetId="72">'491'!$D$73:$I$73</definedName>
    <definedName name="OSRRefD21_12_3x" localSheetId="39">'Div 2'!$D$66:$I$66</definedName>
    <definedName name="OSRRefD21_12_4x" localSheetId="73">'405'!$D$75:$I$75</definedName>
    <definedName name="OSRRefD21_12_5x" localSheetId="73">'405'!$D$76:$I$76</definedName>
    <definedName name="OSRRefD21_12_6x" localSheetId="73">'405'!$D$77:$I$77</definedName>
    <definedName name="OSRRefD21_12_7x" localSheetId="73">'405'!$D$78:$I$78</definedName>
    <definedName name="OSRRefD21_12x_0" localSheetId="41">'201'!$D$63:$D$64</definedName>
    <definedName name="OSRRefD21_12x_0" localSheetId="42">'202'!$D$62</definedName>
    <definedName name="OSRRefD21_12x_0" localSheetId="43">'203'!$D$67</definedName>
    <definedName name="OSRRefD21_12x_0" localSheetId="48">'300'!$D$98</definedName>
    <definedName name="OSRRefD21_12x_0" localSheetId="49">'300 &amp; 317'!$D$104</definedName>
    <definedName name="OSRRefD21_12x_0" localSheetId="50">'301'!$D$64</definedName>
    <definedName name="OSRRefD21_12x_0" localSheetId="52">'307'!$D$78</definedName>
    <definedName name="OSRRefD21_12x_0" localSheetId="53">'308'!$D$81</definedName>
    <definedName name="OSRRefD21_12x_0" localSheetId="63">'310'!$D$69</definedName>
    <definedName name="OSRRefD21_12x_0" localSheetId="71">'310 &amp; 491'!$D$71:$D$74</definedName>
    <definedName name="OSRRefD21_12x_0" localSheetId="54">'311'!$D$81</definedName>
    <definedName name="OSRRefD21_12x_0" localSheetId="57">'315'!$D$85:$D$86</definedName>
    <definedName name="OSRRefD21_12x_0" localSheetId="68">'325'!$D$67:$D$69</definedName>
    <definedName name="OSRRefD21_12x_0" localSheetId="58">'326'!$D$69:$D$70</definedName>
    <definedName name="OSRRefD21_12x_0" localSheetId="51">'330'!$D$78</definedName>
    <definedName name="OSRRefD21_12x_0" localSheetId="56">'331'!$D$85</definedName>
    <definedName name="OSRRefD21_12x_0" localSheetId="73">'405'!$D$71:$D$78</definedName>
    <definedName name="OSRRefD21_12x_0" localSheetId="75">'411'!$D$65</definedName>
    <definedName name="OSRRefD21_12x_0" localSheetId="79">'415'!$D$69:$D$72</definedName>
    <definedName name="OSRRefD21_12x_0" localSheetId="80">'418'!$D$75:$D$76</definedName>
    <definedName name="OSRRefD21_12x_0" localSheetId="87">'433'!$D$70:$D$73</definedName>
    <definedName name="OSRRefD21_12x_0" localSheetId="88">'444'!$D$69:$D$72</definedName>
    <definedName name="OSRRefD21_12x_0" localSheetId="89">'450'!$D$69:$D$72</definedName>
    <definedName name="OSRRefD21_12x_0" localSheetId="72">'491'!$D$70:$D$73</definedName>
    <definedName name="OSRRefD21_12x_0" localSheetId="85">'492'!$D$68:$D$70</definedName>
    <definedName name="OSRRefD21_12x_0" localSheetId="91">'501'!$D$66</definedName>
    <definedName name="OSRRefD21_12x_0" localSheetId="39">'Div 2'!$D$63:$D$66</definedName>
    <definedName name="OSRRefD21_12x_0" localSheetId="47">'Div 3'!$D$102</definedName>
    <definedName name="OSRRefD21_12x_0" localSheetId="70">'Div 4'!$D$72</definedName>
    <definedName name="OSRRefD21_12x_0" localSheetId="90">'Div 5'!$D$66</definedName>
    <definedName name="OSRRefD21_12x_0" localSheetId="2">Summary!$D$111</definedName>
    <definedName name="OSRRefD21_12x_1" localSheetId="41">'201'!$E$63:$E$64</definedName>
    <definedName name="OSRRefD21_12x_1" localSheetId="42">'202'!$E$62</definedName>
    <definedName name="OSRRefD21_12x_1" localSheetId="43">'203'!$E$67</definedName>
    <definedName name="OSRRefD21_12x_1" localSheetId="48">'300'!$E$98</definedName>
    <definedName name="OSRRefD21_12x_1" localSheetId="49">'300 &amp; 317'!$E$104</definedName>
    <definedName name="OSRRefD21_12x_1" localSheetId="50">'301'!$E$64</definedName>
    <definedName name="OSRRefD21_12x_1" localSheetId="52">'307'!$E$78</definedName>
    <definedName name="OSRRefD21_12x_1" localSheetId="53">'308'!$E$81</definedName>
    <definedName name="OSRRefD21_12x_1" localSheetId="63">'310'!$E$69</definedName>
    <definedName name="OSRRefD21_12x_1" localSheetId="71">'310 &amp; 491'!$E$71:$E$74</definedName>
    <definedName name="OSRRefD21_12x_1" localSheetId="54">'311'!$E$81</definedName>
    <definedName name="OSRRefD21_12x_1" localSheetId="57">'315'!$E$85:$E$86</definedName>
    <definedName name="OSRRefD21_12x_1" localSheetId="68">'325'!$E$67:$E$69</definedName>
    <definedName name="OSRRefD21_12x_1" localSheetId="58">'326'!$E$69:$E$70</definedName>
    <definedName name="OSRRefD21_12x_1" localSheetId="51">'330'!$E$78</definedName>
    <definedName name="OSRRefD21_12x_1" localSheetId="56">'331'!$E$85</definedName>
    <definedName name="OSRRefD21_12x_1" localSheetId="73">'405'!$E$71:$E$78</definedName>
    <definedName name="OSRRefD21_12x_1" localSheetId="75">'411'!$E$65</definedName>
    <definedName name="OSRRefD21_12x_1" localSheetId="79">'415'!$E$69:$E$72</definedName>
    <definedName name="OSRRefD21_12x_1" localSheetId="80">'418'!$E$75:$E$76</definedName>
    <definedName name="OSRRefD21_12x_1" localSheetId="87">'433'!$E$70:$E$73</definedName>
    <definedName name="OSRRefD21_12x_1" localSheetId="88">'444'!$E$69:$E$72</definedName>
    <definedName name="OSRRefD21_12x_1" localSheetId="89">'450'!$E$69:$E$72</definedName>
    <definedName name="OSRRefD21_12x_1" localSheetId="72">'491'!$E$70:$E$73</definedName>
    <definedName name="OSRRefD21_12x_1" localSheetId="85">'492'!$E$68:$E$70</definedName>
    <definedName name="OSRRefD21_12x_1" localSheetId="91">'501'!$E$66</definedName>
    <definedName name="OSRRefD21_12x_1" localSheetId="39">'Div 2'!$E$63:$E$66</definedName>
    <definedName name="OSRRefD21_12x_1" localSheetId="47">'Div 3'!$E$102</definedName>
    <definedName name="OSRRefD21_12x_1" localSheetId="70">'Div 4'!$E$72</definedName>
    <definedName name="OSRRefD21_12x_1" localSheetId="90">'Div 5'!$E$66</definedName>
    <definedName name="OSRRefD21_12x_1" localSheetId="2">Summary!$E$111</definedName>
    <definedName name="OSRRefD21_12x_2" localSheetId="41">'201'!$F$63:$F$64</definedName>
    <definedName name="OSRRefD21_12x_2" localSheetId="42">'202'!$F$62</definedName>
    <definedName name="OSRRefD21_12x_2" localSheetId="43">'203'!$F$67</definedName>
    <definedName name="OSRRefD21_12x_2" localSheetId="48">'300'!$F$98</definedName>
    <definedName name="OSRRefD21_12x_2" localSheetId="49">'300 &amp; 317'!$F$104</definedName>
    <definedName name="OSRRefD21_12x_2" localSheetId="50">'301'!$F$64</definedName>
    <definedName name="OSRRefD21_12x_2" localSheetId="52">'307'!$F$78</definedName>
    <definedName name="OSRRefD21_12x_2" localSheetId="53">'308'!$F$81</definedName>
    <definedName name="OSRRefD21_12x_2" localSheetId="63">'310'!$F$69</definedName>
    <definedName name="OSRRefD21_12x_2" localSheetId="71">'310 &amp; 491'!$F$71:$F$74</definedName>
    <definedName name="OSRRefD21_12x_2" localSheetId="54">'311'!$F$81</definedName>
    <definedName name="OSRRefD21_12x_2" localSheetId="57">'315'!$F$85:$F$86</definedName>
    <definedName name="OSRRefD21_12x_2" localSheetId="68">'325'!$F$67:$F$69</definedName>
    <definedName name="OSRRefD21_12x_2" localSheetId="58">'326'!$F$69:$F$70</definedName>
    <definedName name="OSRRefD21_12x_2" localSheetId="51">'330'!$F$78</definedName>
    <definedName name="OSRRefD21_12x_2" localSheetId="56">'331'!$F$85</definedName>
    <definedName name="OSRRefD21_12x_2" localSheetId="73">'405'!$F$71:$F$78</definedName>
    <definedName name="OSRRefD21_12x_2" localSheetId="75">'411'!$F$65</definedName>
    <definedName name="OSRRefD21_12x_2" localSheetId="79">'415'!$F$69:$F$72</definedName>
    <definedName name="OSRRefD21_12x_2" localSheetId="80">'418'!$F$75:$F$76</definedName>
    <definedName name="OSRRefD21_12x_2" localSheetId="87">'433'!$F$70:$F$73</definedName>
    <definedName name="OSRRefD21_12x_2" localSheetId="88">'444'!$F$69:$F$72</definedName>
    <definedName name="OSRRefD21_12x_2" localSheetId="89">'450'!$F$69:$F$72</definedName>
    <definedName name="OSRRefD21_12x_2" localSheetId="72">'491'!$F$70:$F$73</definedName>
    <definedName name="OSRRefD21_12x_2" localSheetId="85">'492'!$F$68:$F$70</definedName>
    <definedName name="OSRRefD21_12x_2" localSheetId="91">'501'!$F$66</definedName>
    <definedName name="OSRRefD21_12x_2" localSheetId="39">'Div 2'!$F$63:$F$66</definedName>
    <definedName name="OSRRefD21_12x_2" localSheetId="47">'Div 3'!$F$102</definedName>
    <definedName name="OSRRefD21_12x_2" localSheetId="70">'Div 4'!$F$72</definedName>
    <definedName name="OSRRefD21_12x_2" localSheetId="90">'Div 5'!$F$66</definedName>
    <definedName name="OSRRefD21_12x_2" localSheetId="2">Summary!$F$111</definedName>
    <definedName name="OSRRefD21_12x_3" localSheetId="41">'201'!$G$63:$G$64</definedName>
    <definedName name="OSRRefD21_12x_3" localSheetId="42">'202'!$G$62</definedName>
    <definedName name="OSRRefD21_12x_3" localSheetId="43">'203'!$G$67</definedName>
    <definedName name="OSRRefD21_12x_3" localSheetId="48">'300'!$G$98</definedName>
    <definedName name="OSRRefD21_12x_3" localSheetId="49">'300 &amp; 317'!$G$104</definedName>
    <definedName name="OSRRefD21_12x_3" localSheetId="50">'301'!$G$64</definedName>
    <definedName name="OSRRefD21_12x_3" localSheetId="52">'307'!$G$78</definedName>
    <definedName name="OSRRefD21_12x_3" localSheetId="53">'308'!$G$81</definedName>
    <definedName name="OSRRefD21_12x_3" localSheetId="63">'310'!$G$69</definedName>
    <definedName name="OSRRefD21_12x_3" localSheetId="71">'310 &amp; 491'!$G$71:$G$74</definedName>
    <definedName name="OSRRefD21_12x_3" localSheetId="54">'311'!$G$81</definedName>
    <definedName name="OSRRefD21_12x_3" localSheetId="57">'315'!$G$85:$G$86</definedName>
    <definedName name="OSRRefD21_12x_3" localSheetId="68">'325'!$G$67:$G$69</definedName>
    <definedName name="OSRRefD21_12x_3" localSheetId="58">'326'!$G$69:$G$70</definedName>
    <definedName name="OSRRefD21_12x_3" localSheetId="51">'330'!$G$78</definedName>
    <definedName name="OSRRefD21_12x_3" localSheetId="56">'331'!$G$85</definedName>
    <definedName name="OSRRefD21_12x_3" localSheetId="73">'405'!$G$71:$G$78</definedName>
    <definedName name="OSRRefD21_12x_3" localSheetId="75">'411'!$G$65</definedName>
    <definedName name="OSRRefD21_12x_3" localSheetId="79">'415'!$G$69:$G$72</definedName>
    <definedName name="OSRRefD21_12x_3" localSheetId="80">'418'!$G$75:$G$76</definedName>
    <definedName name="OSRRefD21_12x_3" localSheetId="87">'433'!$G$70:$G$73</definedName>
    <definedName name="OSRRefD21_12x_3" localSheetId="88">'444'!$G$69:$G$72</definedName>
    <definedName name="OSRRefD21_12x_3" localSheetId="89">'450'!$G$69:$G$72</definedName>
    <definedName name="OSRRefD21_12x_3" localSheetId="72">'491'!$G$70:$G$73</definedName>
    <definedName name="OSRRefD21_12x_3" localSheetId="85">'492'!$G$68:$G$70</definedName>
    <definedName name="OSRRefD21_12x_3" localSheetId="91">'501'!$G$66</definedName>
    <definedName name="OSRRefD21_12x_3" localSheetId="39">'Div 2'!$G$63:$G$66</definedName>
    <definedName name="OSRRefD21_12x_3" localSheetId="47">'Div 3'!$G$102</definedName>
    <definedName name="OSRRefD21_12x_3" localSheetId="70">'Div 4'!$G$72</definedName>
    <definedName name="OSRRefD21_12x_3" localSheetId="90">'Div 5'!$G$66</definedName>
    <definedName name="OSRRefD21_12x_3" localSheetId="2">Summary!$G$111</definedName>
    <definedName name="OSRRefD21_12x_4" localSheetId="41">'201'!$H$63:$H$64</definedName>
    <definedName name="OSRRefD21_12x_4" localSheetId="42">'202'!$H$62</definedName>
    <definedName name="OSRRefD21_12x_4" localSheetId="43">'203'!$H$67</definedName>
    <definedName name="OSRRefD21_12x_4" localSheetId="48">'300'!$H$98</definedName>
    <definedName name="OSRRefD21_12x_4" localSheetId="49">'300 &amp; 317'!$H$104</definedName>
    <definedName name="OSRRefD21_12x_4" localSheetId="50">'301'!$H$64</definedName>
    <definedName name="OSRRefD21_12x_4" localSheetId="52">'307'!$H$78</definedName>
    <definedName name="OSRRefD21_12x_4" localSheetId="53">'308'!$H$81</definedName>
    <definedName name="OSRRefD21_12x_4" localSheetId="63">'310'!$H$69</definedName>
    <definedName name="OSRRefD21_12x_4" localSheetId="71">'310 &amp; 491'!$H$71:$H$74</definedName>
    <definedName name="OSRRefD21_12x_4" localSheetId="54">'311'!$H$81</definedName>
    <definedName name="OSRRefD21_12x_4" localSheetId="57">'315'!$H$85:$H$86</definedName>
    <definedName name="OSRRefD21_12x_4" localSheetId="68">'325'!$H$67:$H$69</definedName>
    <definedName name="OSRRefD21_12x_4" localSheetId="58">'326'!$H$69:$H$70</definedName>
    <definedName name="OSRRefD21_12x_4" localSheetId="51">'330'!$H$78</definedName>
    <definedName name="OSRRefD21_12x_4" localSheetId="56">'331'!$H$85</definedName>
    <definedName name="OSRRefD21_12x_4" localSheetId="73">'405'!$H$71:$H$78</definedName>
    <definedName name="OSRRefD21_12x_4" localSheetId="75">'411'!$H$65</definedName>
    <definedName name="OSRRefD21_12x_4" localSheetId="79">'415'!$H$69:$H$72</definedName>
    <definedName name="OSRRefD21_12x_4" localSheetId="80">'418'!$H$75:$H$76</definedName>
    <definedName name="OSRRefD21_12x_4" localSheetId="87">'433'!$H$70:$H$73</definedName>
    <definedName name="OSRRefD21_12x_4" localSheetId="88">'444'!$H$69:$H$72</definedName>
    <definedName name="OSRRefD21_12x_4" localSheetId="89">'450'!$H$69:$H$72</definedName>
    <definedName name="OSRRefD21_12x_4" localSheetId="72">'491'!$H$70:$H$73</definedName>
    <definedName name="OSRRefD21_12x_4" localSheetId="85">'492'!$H$68:$H$70</definedName>
    <definedName name="OSRRefD21_12x_4" localSheetId="91">'501'!$H$66</definedName>
    <definedName name="OSRRefD21_12x_4" localSheetId="39">'Div 2'!$H$63:$H$66</definedName>
    <definedName name="OSRRefD21_12x_4" localSheetId="47">'Div 3'!$H$102</definedName>
    <definedName name="OSRRefD21_12x_4" localSheetId="70">'Div 4'!$H$72</definedName>
    <definedName name="OSRRefD21_12x_4" localSheetId="90">'Div 5'!$H$66</definedName>
    <definedName name="OSRRefD21_12x_4" localSheetId="2">Summary!$H$111</definedName>
    <definedName name="OSRRefD21_12x_5" localSheetId="41">'201'!$I$63:$I$64</definedName>
    <definedName name="OSRRefD21_12x_5" localSheetId="42">'202'!$I$62</definedName>
    <definedName name="OSRRefD21_12x_5" localSheetId="43">'203'!$I$67</definedName>
    <definedName name="OSRRefD21_12x_5" localSheetId="48">'300'!$I$98</definedName>
    <definedName name="OSRRefD21_12x_5" localSheetId="49">'300 &amp; 317'!$I$104</definedName>
    <definedName name="OSRRefD21_12x_5" localSheetId="50">'301'!$I$64</definedName>
    <definedName name="OSRRefD21_12x_5" localSheetId="52">'307'!$I$78</definedName>
    <definedName name="OSRRefD21_12x_5" localSheetId="53">'308'!$I$81</definedName>
    <definedName name="OSRRefD21_12x_5" localSheetId="63">'310'!$I$69</definedName>
    <definedName name="OSRRefD21_12x_5" localSheetId="71">'310 &amp; 491'!$I$71:$I$74</definedName>
    <definedName name="OSRRefD21_12x_5" localSheetId="54">'311'!$I$81</definedName>
    <definedName name="OSRRefD21_12x_5" localSheetId="57">'315'!$I$85:$I$86</definedName>
    <definedName name="OSRRefD21_12x_5" localSheetId="68">'325'!$I$67:$I$69</definedName>
    <definedName name="OSRRefD21_12x_5" localSheetId="58">'326'!$I$69:$I$70</definedName>
    <definedName name="OSRRefD21_12x_5" localSheetId="51">'330'!$I$78</definedName>
    <definedName name="OSRRefD21_12x_5" localSheetId="56">'331'!$I$85</definedName>
    <definedName name="OSRRefD21_12x_5" localSheetId="73">'405'!$I$71:$I$78</definedName>
    <definedName name="OSRRefD21_12x_5" localSheetId="75">'411'!$I$65</definedName>
    <definedName name="OSRRefD21_12x_5" localSheetId="79">'415'!$I$69:$I$72</definedName>
    <definedName name="OSRRefD21_12x_5" localSheetId="80">'418'!$I$75:$I$76</definedName>
    <definedName name="OSRRefD21_12x_5" localSheetId="87">'433'!$I$70:$I$73</definedName>
    <definedName name="OSRRefD21_12x_5" localSheetId="88">'444'!$I$69:$I$72</definedName>
    <definedName name="OSRRefD21_12x_5" localSheetId="89">'450'!$I$69:$I$72</definedName>
    <definedName name="OSRRefD21_12x_5" localSheetId="72">'491'!$I$70:$I$73</definedName>
    <definedName name="OSRRefD21_12x_5" localSheetId="85">'492'!$I$68:$I$70</definedName>
    <definedName name="OSRRefD21_12x_5" localSheetId="91">'501'!$I$66</definedName>
    <definedName name="OSRRefD21_12x_5" localSheetId="39">'Div 2'!$I$63:$I$66</definedName>
    <definedName name="OSRRefD21_12x_5" localSheetId="47">'Div 3'!$I$102</definedName>
    <definedName name="OSRRefD21_12x_5" localSheetId="70">'Div 4'!$I$72</definedName>
    <definedName name="OSRRefD21_12x_5" localSheetId="90">'Div 5'!$I$66</definedName>
    <definedName name="OSRRefD21_12x_5" localSheetId="2">Summary!$I$111</definedName>
    <definedName name="OSRRefD21_13_0x" localSheetId="41">'201'!$D$66:$I$66</definedName>
    <definedName name="OSRRefD21_13_0x" localSheetId="43">'203'!$D$69:$I$69</definedName>
    <definedName name="OSRRefD21_13_0x" localSheetId="48">'300'!$D$100:$I$100</definedName>
    <definedName name="OSRRefD21_13_0x" localSheetId="49">'300 &amp; 317'!$D$106:$I$106</definedName>
    <definedName name="OSRRefD21_13_0x" localSheetId="50">'301'!$D$66:$I$66</definedName>
    <definedName name="OSRRefD21_13_0x" localSheetId="63">'310'!$D$71:$I$71</definedName>
    <definedName name="OSRRefD21_13_0x" localSheetId="71">'310 &amp; 491'!$D$76:$I$76</definedName>
    <definedName name="OSRRefD21_13_0x" localSheetId="57">'315'!$D$88:$I$88</definedName>
    <definedName name="OSRRefD21_13_0x" localSheetId="68">'325'!$D$71:$I$71</definedName>
    <definedName name="OSRRefD21_13_0x" localSheetId="58">'326'!$D$72:$I$72</definedName>
    <definedName name="OSRRefD21_13_0x" localSheetId="56">'331'!$D$87:$I$87</definedName>
    <definedName name="OSRRefD21_13_0x" localSheetId="73">'405'!$D$80:$I$80</definedName>
    <definedName name="OSRRefD21_13_0x" localSheetId="75">'411'!$D$67:$I$67</definedName>
    <definedName name="OSRRefD21_13_0x" localSheetId="79">'415'!$D$74:$I$74</definedName>
    <definedName name="OSRRefD21_13_0x" localSheetId="80">'418'!$D$78:$I$78</definedName>
    <definedName name="OSRRefD21_13_0x" localSheetId="87">'433'!$D$75:$I$75</definedName>
    <definedName name="OSRRefD21_13_0x" localSheetId="88">'444'!$D$74:$I$74</definedName>
    <definedName name="OSRRefD21_13_0x" localSheetId="89">'450'!$D$74:$I$74</definedName>
    <definedName name="OSRRefD21_13_0x" localSheetId="72">'491'!$D$75:$I$75</definedName>
    <definedName name="OSRRefD21_13_0x" localSheetId="85">'492'!$D$72:$I$72</definedName>
    <definedName name="OSRRefD21_13_0x" localSheetId="91">'501'!$D$68:$I$68</definedName>
    <definedName name="OSRRefD21_13_0x" localSheetId="39">'Div 2'!$D$68:$I$68</definedName>
    <definedName name="OSRRefD21_13_0x" localSheetId="47">'Div 3'!$D$104:$I$104</definedName>
    <definedName name="OSRRefD21_13_0x" localSheetId="70">'Div 4'!$D$74:$I$74</definedName>
    <definedName name="OSRRefD21_13_0x" localSheetId="90">'Div 5'!$D$68:$I$68</definedName>
    <definedName name="OSRRefD21_13_0x" localSheetId="2">Summary!$D$113:$I$113</definedName>
    <definedName name="OSRRefD21_13_1x" localSheetId="63">'310'!$D$72:$I$72</definedName>
    <definedName name="OSRRefD21_13_1x" localSheetId="71">'310 &amp; 491'!$D$77:$I$77</definedName>
    <definedName name="OSRRefD21_13_1x" localSheetId="57">'315'!$D$89:$I$89</definedName>
    <definedName name="OSRRefD21_13_1x" localSheetId="68">'325'!$D$72:$I$72</definedName>
    <definedName name="OSRRefD21_13_1x" localSheetId="58">'326'!$D$73:$I$73</definedName>
    <definedName name="OSRRefD21_13_1x" localSheetId="87">'433'!$D$76:$I$76</definedName>
    <definedName name="OSRRefD21_13_1x" localSheetId="88">'444'!$D$75:$I$75</definedName>
    <definedName name="OSRRefD21_13_1x" localSheetId="89">'450'!$D$75:$I$75</definedName>
    <definedName name="OSRRefD21_13_1x" localSheetId="85">'492'!$D$73:$I$73</definedName>
    <definedName name="OSRRefD21_13_1x" localSheetId="39">'Div 2'!$D$69:$I$69</definedName>
    <definedName name="OSRRefD21_13_2x" localSheetId="63">'310'!$D$73:$I$73</definedName>
    <definedName name="OSRRefD21_13_2x" localSheetId="57">'315'!$D$90:$I$90</definedName>
    <definedName name="OSRRefD21_13_2x" localSheetId="68">'325'!$D$73:$I$73</definedName>
    <definedName name="OSRRefD21_13_2x" localSheetId="87">'433'!$D$77:$I$77</definedName>
    <definedName name="OSRRefD21_13_2x" localSheetId="88">'444'!$D$76:$I$76</definedName>
    <definedName name="OSRRefD21_13_2x" localSheetId="89">'450'!$D$76:$I$76</definedName>
    <definedName name="OSRRefD21_13_2x" localSheetId="85">'492'!$D$74:$I$74</definedName>
    <definedName name="OSRRefD21_13_2x" localSheetId="39">'Div 2'!$D$70:$I$70</definedName>
    <definedName name="OSRRefD21_13_3x" localSheetId="68">'325'!$D$74:$I$74</definedName>
    <definedName name="OSRRefD21_13_3x" localSheetId="87">'433'!$D$78:$I$78</definedName>
    <definedName name="OSRRefD21_13_3x" localSheetId="88">'444'!$D$77:$I$77</definedName>
    <definedName name="OSRRefD21_13_3x" localSheetId="89">'450'!$D$77:$I$77</definedName>
    <definedName name="OSRRefD21_13_3x" localSheetId="85">'492'!$D$75:$I$75</definedName>
    <definedName name="OSRRefD21_13_3x" localSheetId="39">'Div 2'!$D$71:$I$71</definedName>
    <definedName name="OSRRefD21_13_4x" localSheetId="68">'325'!$D$75:$I$75</definedName>
    <definedName name="OSRRefD21_13_4x" localSheetId="87">'433'!$D$79:$I$79</definedName>
    <definedName name="OSRRefD21_13_4x" localSheetId="88">'444'!$D$78:$I$78</definedName>
    <definedName name="OSRRefD21_13_4x" localSheetId="89">'450'!$D$78:$I$78</definedName>
    <definedName name="OSRRefD21_13_5x" localSheetId="87">'433'!$D$80:$I$80</definedName>
    <definedName name="OSRRefD21_13_5x" localSheetId="88">'444'!$D$79:$I$79</definedName>
    <definedName name="OSRRefD21_13_5x" localSheetId="89">'450'!$D$79:$I$79</definedName>
    <definedName name="OSRRefD21_13_6x" localSheetId="87">'433'!$D$81:$I$81</definedName>
    <definedName name="OSRRefD21_13_6x" localSheetId="88">'444'!$D$80:$I$80</definedName>
    <definedName name="OSRRefD21_13_6x" localSheetId="89">'450'!$D$80:$I$80</definedName>
    <definedName name="OSRRefD21_13_7x" localSheetId="87">'433'!$D$82:$I$82</definedName>
    <definedName name="OSRRefD21_13_7x" localSheetId="88">'444'!$D$81:$I$81</definedName>
    <definedName name="OSRRefD21_13x_0" localSheetId="41">'201'!$D$66</definedName>
    <definedName name="OSRRefD21_13x_0" localSheetId="43">'203'!$D$69</definedName>
    <definedName name="OSRRefD21_13x_0" localSheetId="48">'300'!$D$100</definedName>
    <definedName name="OSRRefD21_13x_0" localSheetId="49">'300 &amp; 317'!$D$106</definedName>
    <definedName name="OSRRefD21_13x_0" localSheetId="50">'301'!$D$66</definedName>
    <definedName name="OSRRefD21_13x_0" localSheetId="63">'310'!$D$71:$D$73</definedName>
    <definedName name="OSRRefD21_13x_0" localSheetId="71">'310 &amp; 491'!$D$76:$D$77</definedName>
    <definedName name="OSRRefD21_13x_0" localSheetId="57">'315'!$D$88:$D$90</definedName>
    <definedName name="OSRRefD21_13x_0" localSheetId="68">'325'!$D$71:$D$75</definedName>
    <definedName name="OSRRefD21_13x_0" localSheetId="58">'326'!$D$72:$D$73</definedName>
    <definedName name="OSRRefD21_13x_0" localSheetId="56">'331'!$D$87</definedName>
    <definedName name="OSRRefD21_13x_0" localSheetId="73">'405'!$D$80</definedName>
    <definedName name="OSRRefD21_13x_0" localSheetId="75">'411'!$D$67</definedName>
    <definedName name="OSRRefD21_13x_0" localSheetId="79">'415'!$D$74</definedName>
    <definedName name="OSRRefD21_13x_0" localSheetId="80">'418'!$D$78</definedName>
    <definedName name="OSRRefD21_13x_0" localSheetId="87">'433'!$D$75:$D$82</definedName>
    <definedName name="OSRRefD21_13x_0" localSheetId="88">'444'!$D$74:$D$81</definedName>
    <definedName name="OSRRefD21_13x_0" localSheetId="89">'450'!$D$74:$D$80</definedName>
    <definedName name="OSRRefD21_13x_0" localSheetId="72">'491'!$D$75</definedName>
    <definedName name="OSRRefD21_13x_0" localSheetId="85">'492'!$D$72:$D$75</definedName>
    <definedName name="OSRRefD21_13x_0" localSheetId="91">'501'!$D$68</definedName>
    <definedName name="OSRRefD21_13x_0" localSheetId="39">'Div 2'!$D$68:$D$71</definedName>
    <definedName name="OSRRefD21_13x_0" localSheetId="47">'Div 3'!$D$104</definedName>
    <definedName name="OSRRefD21_13x_0" localSheetId="70">'Div 4'!$D$74</definedName>
    <definedName name="OSRRefD21_13x_0" localSheetId="90">'Div 5'!$D$68</definedName>
    <definedName name="OSRRefD21_13x_0" localSheetId="2">Summary!$D$113</definedName>
    <definedName name="OSRRefD21_13x_1" localSheetId="41">'201'!$E$66</definedName>
    <definedName name="OSRRefD21_13x_1" localSheetId="43">'203'!$E$69</definedName>
    <definedName name="OSRRefD21_13x_1" localSheetId="48">'300'!$E$100</definedName>
    <definedName name="OSRRefD21_13x_1" localSheetId="49">'300 &amp; 317'!$E$106</definedName>
    <definedName name="OSRRefD21_13x_1" localSheetId="50">'301'!$E$66</definedName>
    <definedName name="OSRRefD21_13x_1" localSheetId="63">'310'!$E$71:$E$73</definedName>
    <definedName name="OSRRefD21_13x_1" localSheetId="71">'310 &amp; 491'!$E$76:$E$77</definedName>
    <definedName name="OSRRefD21_13x_1" localSheetId="57">'315'!$E$88:$E$90</definedName>
    <definedName name="OSRRefD21_13x_1" localSheetId="68">'325'!$E$71:$E$75</definedName>
    <definedName name="OSRRefD21_13x_1" localSheetId="58">'326'!$E$72:$E$73</definedName>
    <definedName name="OSRRefD21_13x_1" localSheetId="56">'331'!$E$87</definedName>
    <definedName name="OSRRefD21_13x_1" localSheetId="73">'405'!$E$80</definedName>
    <definedName name="OSRRefD21_13x_1" localSheetId="75">'411'!$E$67</definedName>
    <definedName name="OSRRefD21_13x_1" localSheetId="79">'415'!$E$74</definedName>
    <definedName name="OSRRefD21_13x_1" localSheetId="80">'418'!$E$78</definedName>
    <definedName name="OSRRefD21_13x_1" localSheetId="87">'433'!$E$75:$E$82</definedName>
    <definedName name="OSRRefD21_13x_1" localSheetId="88">'444'!$E$74:$E$81</definedName>
    <definedName name="OSRRefD21_13x_1" localSheetId="89">'450'!$E$74:$E$80</definedName>
    <definedName name="OSRRefD21_13x_1" localSheetId="72">'491'!$E$75</definedName>
    <definedName name="OSRRefD21_13x_1" localSheetId="85">'492'!$E$72:$E$75</definedName>
    <definedName name="OSRRefD21_13x_1" localSheetId="91">'501'!$E$68</definedName>
    <definedName name="OSRRefD21_13x_1" localSheetId="39">'Div 2'!$E$68:$E$71</definedName>
    <definedName name="OSRRefD21_13x_1" localSheetId="47">'Div 3'!$E$104</definedName>
    <definedName name="OSRRefD21_13x_1" localSheetId="70">'Div 4'!$E$74</definedName>
    <definedName name="OSRRefD21_13x_1" localSheetId="90">'Div 5'!$E$68</definedName>
    <definedName name="OSRRefD21_13x_1" localSheetId="2">Summary!$E$113</definedName>
    <definedName name="OSRRefD21_13x_2" localSheetId="41">'201'!$F$66</definedName>
    <definedName name="OSRRefD21_13x_2" localSheetId="43">'203'!$F$69</definedName>
    <definedName name="OSRRefD21_13x_2" localSheetId="48">'300'!$F$100</definedName>
    <definedName name="OSRRefD21_13x_2" localSheetId="49">'300 &amp; 317'!$F$106</definedName>
    <definedName name="OSRRefD21_13x_2" localSheetId="50">'301'!$F$66</definedName>
    <definedName name="OSRRefD21_13x_2" localSheetId="63">'310'!$F$71:$F$73</definedName>
    <definedName name="OSRRefD21_13x_2" localSheetId="71">'310 &amp; 491'!$F$76:$F$77</definedName>
    <definedName name="OSRRefD21_13x_2" localSheetId="57">'315'!$F$88:$F$90</definedName>
    <definedName name="OSRRefD21_13x_2" localSheetId="68">'325'!$F$71:$F$75</definedName>
    <definedName name="OSRRefD21_13x_2" localSheetId="58">'326'!$F$72:$F$73</definedName>
    <definedName name="OSRRefD21_13x_2" localSheetId="56">'331'!$F$87</definedName>
    <definedName name="OSRRefD21_13x_2" localSheetId="73">'405'!$F$80</definedName>
    <definedName name="OSRRefD21_13x_2" localSheetId="75">'411'!$F$67</definedName>
    <definedName name="OSRRefD21_13x_2" localSheetId="79">'415'!$F$74</definedName>
    <definedName name="OSRRefD21_13x_2" localSheetId="80">'418'!$F$78</definedName>
    <definedName name="OSRRefD21_13x_2" localSheetId="87">'433'!$F$75:$F$82</definedName>
    <definedName name="OSRRefD21_13x_2" localSheetId="88">'444'!$F$74:$F$81</definedName>
    <definedName name="OSRRefD21_13x_2" localSheetId="89">'450'!$F$74:$F$80</definedName>
    <definedName name="OSRRefD21_13x_2" localSheetId="72">'491'!$F$75</definedName>
    <definedName name="OSRRefD21_13x_2" localSheetId="85">'492'!$F$72:$F$75</definedName>
    <definedName name="OSRRefD21_13x_2" localSheetId="91">'501'!$F$68</definedName>
    <definedName name="OSRRefD21_13x_2" localSheetId="39">'Div 2'!$F$68:$F$71</definedName>
    <definedName name="OSRRefD21_13x_2" localSheetId="47">'Div 3'!$F$104</definedName>
    <definedName name="OSRRefD21_13x_2" localSheetId="70">'Div 4'!$F$74</definedName>
    <definedName name="OSRRefD21_13x_2" localSheetId="90">'Div 5'!$F$68</definedName>
    <definedName name="OSRRefD21_13x_2" localSheetId="2">Summary!$F$113</definedName>
    <definedName name="OSRRefD21_13x_3" localSheetId="41">'201'!$G$66</definedName>
    <definedName name="OSRRefD21_13x_3" localSheetId="43">'203'!$G$69</definedName>
    <definedName name="OSRRefD21_13x_3" localSheetId="48">'300'!$G$100</definedName>
    <definedName name="OSRRefD21_13x_3" localSheetId="49">'300 &amp; 317'!$G$106</definedName>
    <definedName name="OSRRefD21_13x_3" localSheetId="50">'301'!$G$66</definedName>
    <definedName name="OSRRefD21_13x_3" localSheetId="63">'310'!$G$71:$G$73</definedName>
    <definedName name="OSRRefD21_13x_3" localSheetId="71">'310 &amp; 491'!$G$76:$G$77</definedName>
    <definedName name="OSRRefD21_13x_3" localSheetId="57">'315'!$G$88:$G$90</definedName>
    <definedName name="OSRRefD21_13x_3" localSheetId="68">'325'!$G$71:$G$75</definedName>
    <definedName name="OSRRefD21_13x_3" localSheetId="58">'326'!$G$72:$G$73</definedName>
    <definedName name="OSRRefD21_13x_3" localSheetId="56">'331'!$G$87</definedName>
    <definedName name="OSRRefD21_13x_3" localSheetId="73">'405'!$G$80</definedName>
    <definedName name="OSRRefD21_13x_3" localSheetId="75">'411'!$G$67</definedName>
    <definedName name="OSRRefD21_13x_3" localSheetId="79">'415'!$G$74</definedName>
    <definedName name="OSRRefD21_13x_3" localSheetId="80">'418'!$G$78</definedName>
    <definedName name="OSRRefD21_13x_3" localSheetId="87">'433'!$G$75:$G$82</definedName>
    <definedName name="OSRRefD21_13x_3" localSheetId="88">'444'!$G$74:$G$81</definedName>
    <definedName name="OSRRefD21_13x_3" localSheetId="89">'450'!$G$74:$G$80</definedName>
    <definedName name="OSRRefD21_13x_3" localSheetId="72">'491'!$G$75</definedName>
    <definedName name="OSRRefD21_13x_3" localSheetId="85">'492'!$G$72:$G$75</definedName>
    <definedName name="OSRRefD21_13x_3" localSheetId="91">'501'!$G$68</definedName>
    <definedName name="OSRRefD21_13x_3" localSheetId="39">'Div 2'!$G$68:$G$71</definedName>
    <definedName name="OSRRefD21_13x_3" localSheetId="47">'Div 3'!$G$104</definedName>
    <definedName name="OSRRefD21_13x_3" localSheetId="70">'Div 4'!$G$74</definedName>
    <definedName name="OSRRefD21_13x_3" localSheetId="90">'Div 5'!$G$68</definedName>
    <definedName name="OSRRefD21_13x_3" localSheetId="2">Summary!$G$113</definedName>
    <definedName name="OSRRefD21_13x_4" localSheetId="41">'201'!$H$66</definedName>
    <definedName name="OSRRefD21_13x_4" localSheetId="43">'203'!$H$69</definedName>
    <definedName name="OSRRefD21_13x_4" localSheetId="48">'300'!$H$100</definedName>
    <definedName name="OSRRefD21_13x_4" localSheetId="49">'300 &amp; 317'!$H$106</definedName>
    <definedName name="OSRRefD21_13x_4" localSheetId="50">'301'!$H$66</definedName>
    <definedName name="OSRRefD21_13x_4" localSheetId="63">'310'!$H$71:$H$73</definedName>
    <definedName name="OSRRefD21_13x_4" localSheetId="71">'310 &amp; 491'!$H$76:$H$77</definedName>
    <definedName name="OSRRefD21_13x_4" localSheetId="57">'315'!$H$88:$H$90</definedName>
    <definedName name="OSRRefD21_13x_4" localSheetId="68">'325'!$H$71:$H$75</definedName>
    <definedName name="OSRRefD21_13x_4" localSheetId="58">'326'!$H$72:$H$73</definedName>
    <definedName name="OSRRefD21_13x_4" localSheetId="56">'331'!$H$87</definedName>
    <definedName name="OSRRefD21_13x_4" localSheetId="73">'405'!$H$80</definedName>
    <definedName name="OSRRefD21_13x_4" localSheetId="75">'411'!$H$67</definedName>
    <definedName name="OSRRefD21_13x_4" localSheetId="79">'415'!$H$74</definedName>
    <definedName name="OSRRefD21_13x_4" localSheetId="80">'418'!$H$78</definedName>
    <definedName name="OSRRefD21_13x_4" localSheetId="87">'433'!$H$75:$H$82</definedName>
    <definedName name="OSRRefD21_13x_4" localSheetId="88">'444'!$H$74:$H$81</definedName>
    <definedName name="OSRRefD21_13x_4" localSheetId="89">'450'!$H$74:$H$80</definedName>
    <definedName name="OSRRefD21_13x_4" localSheetId="72">'491'!$H$75</definedName>
    <definedName name="OSRRefD21_13x_4" localSheetId="85">'492'!$H$72:$H$75</definedName>
    <definedName name="OSRRefD21_13x_4" localSheetId="91">'501'!$H$68</definedName>
    <definedName name="OSRRefD21_13x_4" localSheetId="39">'Div 2'!$H$68:$H$71</definedName>
    <definedName name="OSRRefD21_13x_4" localSheetId="47">'Div 3'!$H$104</definedName>
    <definedName name="OSRRefD21_13x_4" localSheetId="70">'Div 4'!$H$74</definedName>
    <definedName name="OSRRefD21_13x_4" localSheetId="90">'Div 5'!$H$68</definedName>
    <definedName name="OSRRefD21_13x_4" localSheetId="2">Summary!$H$113</definedName>
    <definedName name="OSRRefD21_13x_5" localSheetId="41">'201'!$I$66</definedName>
    <definedName name="OSRRefD21_13x_5" localSheetId="43">'203'!$I$69</definedName>
    <definedName name="OSRRefD21_13x_5" localSheetId="48">'300'!$I$100</definedName>
    <definedName name="OSRRefD21_13x_5" localSheetId="49">'300 &amp; 317'!$I$106</definedName>
    <definedName name="OSRRefD21_13x_5" localSheetId="50">'301'!$I$66</definedName>
    <definedName name="OSRRefD21_13x_5" localSheetId="63">'310'!$I$71:$I$73</definedName>
    <definedName name="OSRRefD21_13x_5" localSheetId="71">'310 &amp; 491'!$I$76:$I$77</definedName>
    <definedName name="OSRRefD21_13x_5" localSheetId="57">'315'!$I$88:$I$90</definedName>
    <definedName name="OSRRefD21_13x_5" localSheetId="68">'325'!$I$71:$I$75</definedName>
    <definedName name="OSRRefD21_13x_5" localSheetId="58">'326'!$I$72:$I$73</definedName>
    <definedName name="OSRRefD21_13x_5" localSheetId="56">'331'!$I$87</definedName>
    <definedName name="OSRRefD21_13x_5" localSheetId="73">'405'!$I$80</definedName>
    <definedName name="OSRRefD21_13x_5" localSheetId="75">'411'!$I$67</definedName>
    <definedName name="OSRRefD21_13x_5" localSheetId="79">'415'!$I$74</definedName>
    <definedName name="OSRRefD21_13x_5" localSheetId="80">'418'!$I$78</definedName>
    <definedName name="OSRRefD21_13x_5" localSheetId="87">'433'!$I$75:$I$82</definedName>
    <definedName name="OSRRefD21_13x_5" localSheetId="88">'444'!$I$74:$I$81</definedName>
    <definedName name="OSRRefD21_13x_5" localSheetId="89">'450'!$I$74:$I$80</definedName>
    <definedName name="OSRRefD21_13x_5" localSheetId="72">'491'!$I$75</definedName>
    <definedName name="OSRRefD21_13x_5" localSheetId="85">'492'!$I$72:$I$75</definedName>
    <definedName name="OSRRefD21_13x_5" localSheetId="91">'501'!$I$68</definedName>
    <definedName name="OSRRefD21_13x_5" localSheetId="39">'Div 2'!$I$68:$I$71</definedName>
    <definedName name="OSRRefD21_13x_5" localSheetId="47">'Div 3'!$I$104</definedName>
    <definedName name="OSRRefD21_13x_5" localSheetId="70">'Div 4'!$I$74</definedName>
    <definedName name="OSRRefD21_13x_5" localSheetId="90">'Div 5'!$I$68</definedName>
    <definedName name="OSRRefD21_13x_5" localSheetId="2">Summary!$I$113</definedName>
    <definedName name="OSRRefD21_14_0x" localSheetId="41">'201'!$D$68:$I$68</definedName>
    <definedName name="OSRRefD21_14_0x" localSheetId="48">'300'!$D$102:$I$102</definedName>
    <definedName name="OSRRefD21_14_0x" localSheetId="49">'300 &amp; 317'!$D$108:$I$108</definedName>
    <definedName name="OSRRefD21_14_0x" localSheetId="50">'301'!$D$68:$I$68</definedName>
    <definedName name="OSRRefD21_14_0x" localSheetId="63">'310'!$D$75:$I$75</definedName>
    <definedName name="OSRRefD21_14_0x" localSheetId="71">'310 &amp; 491'!$D$79:$I$79</definedName>
    <definedName name="OSRRefD21_14_0x" localSheetId="57">'315'!$D$92:$I$92</definedName>
    <definedName name="OSRRefD21_14_0x" localSheetId="68">'325'!$D$77:$I$77</definedName>
    <definedName name="OSRRefD21_14_0x" localSheetId="58">'326'!$D$75:$I$75</definedName>
    <definedName name="OSRRefD21_14_0x" localSheetId="56">'331'!$D$89:$I$89</definedName>
    <definedName name="OSRRefD21_14_0x" localSheetId="73">'405'!$D$82:$I$82</definedName>
    <definedName name="OSRRefD21_14_0x" localSheetId="75">'411'!$D$69:$I$69</definedName>
    <definedName name="OSRRefD21_14_0x" localSheetId="79">'415'!$D$76:$I$76</definedName>
    <definedName name="OSRRefD21_14_0x" localSheetId="80">'418'!$D$80:$I$80</definedName>
    <definedName name="OSRRefD21_14_0x" localSheetId="87">'433'!$D$84:$I$84</definedName>
    <definedName name="OSRRefD21_14_0x" localSheetId="88">'444'!$D$83:$I$83</definedName>
    <definedName name="OSRRefD21_14_0x" localSheetId="89">'450'!$D$82:$I$82</definedName>
    <definedName name="OSRRefD21_14_0x" localSheetId="72">'491'!$D$77:$I$77</definedName>
    <definedName name="OSRRefD21_14_0x" localSheetId="85">'492'!$D$77:$I$77</definedName>
    <definedName name="OSRRefD21_14_0x" localSheetId="39">'Div 2'!$D$73:$I$73</definedName>
    <definedName name="OSRRefD21_14_0x" localSheetId="47">'Div 3'!$D$106:$I$106</definedName>
    <definedName name="OSRRefD21_14_0x" localSheetId="70">'Div 4'!$D$76:$I$76</definedName>
    <definedName name="OSRRefD21_14_0x" localSheetId="2">Summary!$D$115:$I$115</definedName>
    <definedName name="OSRRefD21_14_1x" localSheetId="63">'310'!$D$76:$I$76</definedName>
    <definedName name="OSRRefD21_14_1x" localSheetId="71">'310 &amp; 491'!$D$80:$I$80</definedName>
    <definedName name="OSRRefD21_14_1x" localSheetId="57">'315'!$D$93:$I$93</definedName>
    <definedName name="OSRRefD21_14_1x" localSheetId="68">'325'!$D$78:$I$78</definedName>
    <definedName name="OSRRefD21_14_1x" localSheetId="58">'326'!$D$76:$I$76</definedName>
    <definedName name="OSRRefD21_14_1x" localSheetId="56">'331'!$D$90:$I$90</definedName>
    <definedName name="OSRRefD21_14_1x" localSheetId="79">'415'!$D$77:$I$77</definedName>
    <definedName name="OSRRefD21_14_1x" localSheetId="72">'491'!$D$78:$I$78</definedName>
    <definedName name="OSRRefD21_14_1x" localSheetId="85">'492'!$D$78:$I$78</definedName>
    <definedName name="OSRRefD21_14_1x" localSheetId="39">'Div 2'!$D$74:$I$74</definedName>
    <definedName name="OSRRefD21_14_1x" localSheetId="70">'Div 4'!$D$77:$I$77</definedName>
    <definedName name="OSRRefD21_14_2x" localSheetId="63">'310'!$D$77:$I$77</definedName>
    <definedName name="OSRRefD21_14_2x" localSheetId="71">'310 &amp; 491'!$D$81:$I$81</definedName>
    <definedName name="OSRRefD21_14_2x" localSheetId="58">'326'!$D$77:$I$77</definedName>
    <definedName name="OSRRefD21_14_2x" localSheetId="79">'415'!$D$78:$I$78</definedName>
    <definedName name="OSRRefD21_14_2x" localSheetId="72">'491'!$D$79:$I$79</definedName>
    <definedName name="OSRRefD21_14_2x" localSheetId="85">'492'!$D$79:$I$79</definedName>
    <definedName name="OSRRefD21_14_2x" localSheetId="70">'Div 4'!$D$78:$I$78</definedName>
    <definedName name="OSRRefD21_14_3x" localSheetId="63">'310'!$D$78:$I$78</definedName>
    <definedName name="OSRRefD21_14_3x" localSheetId="71">'310 &amp; 491'!$D$82:$I$82</definedName>
    <definedName name="OSRRefD21_14_3x" localSheetId="79">'415'!$D$79:$I$79</definedName>
    <definedName name="OSRRefD21_14_3x" localSheetId="72">'491'!$D$80:$I$80</definedName>
    <definedName name="OSRRefD21_14_3x" localSheetId="85">'492'!$D$80:$I$80</definedName>
    <definedName name="OSRRefD21_14_3x" localSheetId="70">'Div 4'!$D$79:$I$79</definedName>
    <definedName name="OSRRefD21_14_4x" localSheetId="63">'310'!$D$79:$I$79</definedName>
    <definedName name="OSRRefD21_14_4x" localSheetId="71">'310 &amp; 491'!$D$83:$I$83</definedName>
    <definedName name="OSRRefD21_14_4x" localSheetId="79">'415'!$D$80:$I$80</definedName>
    <definedName name="OSRRefD21_14_4x" localSheetId="72">'491'!$D$81:$I$81</definedName>
    <definedName name="OSRRefD21_14_4x" localSheetId="85">'492'!$D$81:$I$81</definedName>
    <definedName name="OSRRefD21_14_5x" localSheetId="85">'492'!$D$82:$I$82</definedName>
    <definedName name="OSRRefD21_14_6x" localSheetId="85">'492'!$D$83:$I$83</definedName>
    <definedName name="OSRRefD21_14_7x" localSheetId="85">'492'!$D$84:$I$84</definedName>
    <definedName name="OSRRefD21_14x_0" localSheetId="41">'201'!$D$68</definedName>
    <definedName name="OSRRefD21_14x_0" localSheetId="48">'300'!$D$102</definedName>
    <definedName name="OSRRefD21_14x_0" localSheetId="49">'300 &amp; 317'!$D$108</definedName>
    <definedName name="OSRRefD21_14x_0" localSheetId="50">'301'!$D$68</definedName>
    <definedName name="OSRRefD21_14x_0" localSheetId="63">'310'!$D$75:$D$79</definedName>
    <definedName name="OSRRefD21_14x_0" localSheetId="71">'310 &amp; 491'!$D$79:$D$83</definedName>
    <definedName name="OSRRefD21_14x_0" localSheetId="57">'315'!$D$92:$D$93</definedName>
    <definedName name="OSRRefD21_14x_0" localSheetId="68">'325'!$D$77:$D$78</definedName>
    <definedName name="OSRRefD21_14x_0" localSheetId="58">'326'!$D$75:$D$77</definedName>
    <definedName name="OSRRefD21_14x_0" localSheetId="56">'331'!$D$89:$D$90</definedName>
    <definedName name="OSRRefD21_14x_0" localSheetId="73">'405'!$D$82</definedName>
    <definedName name="OSRRefD21_14x_0" localSheetId="75">'411'!$D$69</definedName>
    <definedName name="OSRRefD21_14x_0" localSheetId="79">'415'!$D$76:$D$80</definedName>
    <definedName name="OSRRefD21_14x_0" localSheetId="80">'418'!$D$80</definedName>
    <definedName name="OSRRefD21_14x_0" localSheetId="87">'433'!$D$84</definedName>
    <definedName name="OSRRefD21_14x_0" localSheetId="88">'444'!$D$83</definedName>
    <definedName name="OSRRefD21_14x_0" localSheetId="89">'450'!$D$82</definedName>
    <definedName name="OSRRefD21_14x_0" localSheetId="72">'491'!$D$77:$D$81</definedName>
    <definedName name="OSRRefD21_14x_0" localSheetId="85">'492'!$D$77:$D$84</definedName>
    <definedName name="OSRRefD21_14x_0" localSheetId="39">'Div 2'!$D$73:$D$74</definedName>
    <definedName name="OSRRefD21_14x_0" localSheetId="47">'Div 3'!$D$106</definedName>
    <definedName name="OSRRefD21_14x_0" localSheetId="70">'Div 4'!$D$76:$D$79</definedName>
    <definedName name="OSRRefD21_14x_0" localSheetId="2">Summary!$D$115</definedName>
    <definedName name="OSRRefD21_14x_1" localSheetId="41">'201'!$E$68</definedName>
    <definedName name="OSRRefD21_14x_1" localSheetId="48">'300'!$E$102</definedName>
    <definedName name="OSRRefD21_14x_1" localSheetId="49">'300 &amp; 317'!$E$108</definedName>
    <definedName name="OSRRefD21_14x_1" localSheetId="50">'301'!$E$68</definedName>
    <definedName name="OSRRefD21_14x_1" localSheetId="63">'310'!$E$75:$E$79</definedName>
    <definedName name="OSRRefD21_14x_1" localSheetId="71">'310 &amp; 491'!$E$79:$E$83</definedName>
    <definedName name="OSRRefD21_14x_1" localSheetId="57">'315'!$E$92:$E$93</definedName>
    <definedName name="OSRRefD21_14x_1" localSheetId="68">'325'!$E$77:$E$78</definedName>
    <definedName name="OSRRefD21_14x_1" localSheetId="58">'326'!$E$75:$E$77</definedName>
    <definedName name="OSRRefD21_14x_1" localSheetId="56">'331'!$E$89:$E$90</definedName>
    <definedName name="OSRRefD21_14x_1" localSheetId="73">'405'!$E$82</definedName>
    <definedName name="OSRRefD21_14x_1" localSheetId="75">'411'!$E$69</definedName>
    <definedName name="OSRRefD21_14x_1" localSheetId="79">'415'!$E$76:$E$80</definedName>
    <definedName name="OSRRefD21_14x_1" localSheetId="80">'418'!$E$80</definedName>
    <definedName name="OSRRefD21_14x_1" localSheetId="87">'433'!$E$84</definedName>
    <definedName name="OSRRefD21_14x_1" localSheetId="88">'444'!$E$83</definedName>
    <definedName name="OSRRefD21_14x_1" localSheetId="89">'450'!$E$82</definedName>
    <definedName name="OSRRefD21_14x_1" localSheetId="72">'491'!$E$77:$E$81</definedName>
    <definedName name="OSRRefD21_14x_1" localSheetId="85">'492'!$E$77:$E$84</definedName>
    <definedName name="OSRRefD21_14x_1" localSheetId="39">'Div 2'!$E$73:$E$74</definedName>
    <definedName name="OSRRefD21_14x_1" localSheetId="47">'Div 3'!$E$106</definedName>
    <definedName name="OSRRefD21_14x_1" localSheetId="70">'Div 4'!$E$76:$E$79</definedName>
    <definedName name="OSRRefD21_14x_1" localSheetId="2">Summary!$E$115</definedName>
    <definedName name="OSRRefD21_14x_2" localSheetId="41">'201'!$F$68</definedName>
    <definedName name="OSRRefD21_14x_2" localSheetId="48">'300'!$F$102</definedName>
    <definedName name="OSRRefD21_14x_2" localSheetId="49">'300 &amp; 317'!$F$108</definedName>
    <definedName name="OSRRefD21_14x_2" localSheetId="50">'301'!$F$68</definedName>
    <definedName name="OSRRefD21_14x_2" localSheetId="63">'310'!$F$75:$F$79</definedName>
    <definedName name="OSRRefD21_14x_2" localSheetId="71">'310 &amp; 491'!$F$79:$F$83</definedName>
    <definedName name="OSRRefD21_14x_2" localSheetId="57">'315'!$F$92:$F$93</definedName>
    <definedName name="OSRRefD21_14x_2" localSheetId="68">'325'!$F$77:$F$78</definedName>
    <definedName name="OSRRefD21_14x_2" localSheetId="58">'326'!$F$75:$F$77</definedName>
    <definedName name="OSRRefD21_14x_2" localSheetId="56">'331'!$F$89:$F$90</definedName>
    <definedName name="OSRRefD21_14x_2" localSheetId="73">'405'!$F$82</definedName>
    <definedName name="OSRRefD21_14x_2" localSheetId="75">'411'!$F$69</definedName>
    <definedName name="OSRRefD21_14x_2" localSheetId="79">'415'!$F$76:$F$80</definedName>
    <definedName name="OSRRefD21_14x_2" localSheetId="80">'418'!$F$80</definedName>
    <definedName name="OSRRefD21_14x_2" localSheetId="87">'433'!$F$84</definedName>
    <definedName name="OSRRefD21_14x_2" localSheetId="88">'444'!$F$83</definedName>
    <definedName name="OSRRefD21_14x_2" localSheetId="89">'450'!$F$82</definedName>
    <definedName name="OSRRefD21_14x_2" localSheetId="72">'491'!$F$77:$F$81</definedName>
    <definedName name="OSRRefD21_14x_2" localSheetId="85">'492'!$F$77:$F$84</definedName>
    <definedName name="OSRRefD21_14x_2" localSheetId="39">'Div 2'!$F$73:$F$74</definedName>
    <definedName name="OSRRefD21_14x_2" localSheetId="47">'Div 3'!$F$106</definedName>
    <definedName name="OSRRefD21_14x_2" localSheetId="70">'Div 4'!$F$76:$F$79</definedName>
    <definedName name="OSRRefD21_14x_2" localSheetId="2">Summary!$F$115</definedName>
    <definedName name="OSRRefD21_14x_3" localSheetId="41">'201'!$G$68</definedName>
    <definedName name="OSRRefD21_14x_3" localSheetId="48">'300'!$G$102</definedName>
    <definedName name="OSRRefD21_14x_3" localSheetId="49">'300 &amp; 317'!$G$108</definedName>
    <definedName name="OSRRefD21_14x_3" localSheetId="50">'301'!$G$68</definedName>
    <definedName name="OSRRefD21_14x_3" localSheetId="63">'310'!$G$75:$G$79</definedName>
    <definedName name="OSRRefD21_14x_3" localSheetId="71">'310 &amp; 491'!$G$79:$G$83</definedName>
    <definedName name="OSRRefD21_14x_3" localSheetId="57">'315'!$G$92:$G$93</definedName>
    <definedName name="OSRRefD21_14x_3" localSheetId="68">'325'!$G$77:$G$78</definedName>
    <definedName name="OSRRefD21_14x_3" localSheetId="58">'326'!$G$75:$G$77</definedName>
    <definedName name="OSRRefD21_14x_3" localSheetId="56">'331'!$G$89:$G$90</definedName>
    <definedName name="OSRRefD21_14x_3" localSheetId="73">'405'!$G$82</definedName>
    <definedName name="OSRRefD21_14x_3" localSheetId="75">'411'!$G$69</definedName>
    <definedName name="OSRRefD21_14x_3" localSheetId="79">'415'!$G$76:$G$80</definedName>
    <definedName name="OSRRefD21_14x_3" localSheetId="80">'418'!$G$80</definedName>
    <definedName name="OSRRefD21_14x_3" localSheetId="87">'433'!$G$84</definedName>
    <definedName name="OSRRefD21_14x_3" localSheetId="88">'444'!$G$83</definedName>
    <definedName name="OSRRefD21_14x_3" localSheetId="89">'450'!$G$82</definedName>
    <definedName name="OSRRefD21_14x_3" localSheetId="72">'491'!$G$77:$G$81</definedName>
    <definedName name="OSRRefD21_14x_3" localSheetId="85">'492'!$G$77:$G$84</definedName>
    <definedName name="OSRRefD21_14x_3" localSheetId="39">'Div 2'!$G$73:$G$74</definedName>
    <definedName name="OSRRefD21_14x_3" localSheetId="47">'Div 3'!$G$106</definedName>
    <definedName name="OSRRefD21_14x_3" localSheetId="70">'Div 4'!$G$76:$G$79</definedName>
    <definedName name="OSRRefD21_14x_3" localSheetId="2">Summary!$G$115</definedName>
    <definedName name="OSRRefD21_14x_4" localSheetId="41">'201'!$H$68</definedName>
    <definedName name="OSRRefD21_14x_4" localSheetId="48">'300'!$H$102</definedName>
    <definedName name="OSRRefD21_14x_4" localSheetId="49">'300 &amp; 317'!$H$108</definedName>
    <definedName name="OSRRefD21_14x_4" localSheetId="50">'301'!$H$68</definedName>
    <definedName name="OSRRefD21_14x_4" localSheetId="63">'310'!$H$75:$H$79</definedName>
    <definedName name="OSRRefD21_14x_4" localSheetId="71">'310 &amp; 491'!$H$79:$H$83</definedName>
    <definedName name="OSRRefD21_14x_4" localSheetId="57">'315'!$H$92:$H$93</definedName>
    <definedName name="OSRRefD21_14x_4" localSheetId="68">'325'!$H$77:$H$78</definedName>
    <definedName name="OSRRefD21_14x_4" localSheetId="58">'326'!$H$75:$H$77</definedName>
    <definedName name="OSRRefD21_14x_4" localSheetId="56">'331'!$H$89:$H$90</definedName>
    <definedName name="OSRRefD21_14x_4" localSheetId="73">'405'!$H$82</definedName>
    <definedName name="OSRRefD21_14x_4" localSheetId="75">'411'!$H$69</definedName>
    <definedName name="OSRRefD21_14x_4" localSheetId="79">'415'!$H$76:$H$80</definedName>
    <definedName name="OSRRefD21_14x_4" localSheetId="80">'418'!$H$80</definedName>
    <definedName name="OSRRefD21_14x_4" localSheetId="87">'433'!$H$84</definedName>
    <definedName name="OSRRefD21_14x_4" localSheetId="88">'444'!$H$83</definedName>
    <definedName name="OSRRefD21_14x_4" localSheetId="89">'450'!$H$82</definedName>
    <definedName name="OSRRefD21_14x_4" localSheetId="72">'491'!$H$77:$H$81</definedName>
    <definedName name="OSRRefD21_14x_4" localSheetId="85">'492'!$H$77:$H$84</definedName>
    <definedName name="OSRRefD21_14x_4" localSheetId="39">'Div 2'!$H$73:$H$74</definedName>
    <definedName name="OSRRefD21_14x_4" localSheetId="47">'Div 3'!$H$106</definedName>
    <definedName name="OSRRefD21_14x_4" localSheetId="70">'Div 4'!$H$76:$H$79</definedName>
    <definedName name="OSRRefD21_14x_4" localSheetId="2">Summary!$H$115</definedName>
    <definedName name="OSRRefD21_14x_5" localSheetId="41">'201'!$I$68</definedName>
    <definedName name="OSRRefD21_14x_5" localSheetId="48">'300'!$I$102</definedName>
    <definedName name="OSRRefD21_14x_5" localSheetId="49">'300 &amp; 317'!$I$108</definedName>
    <definedName name="OSRRefD21_14x_5" localSheetId="50">'301'!$I$68</definedName>
    <definedName name="OSRRefD21_14x_5" localSheetId="63">'310'!$I$75:$I$79</definedName>
    <definedName name="OSRRefD21_14x_5" localSheetId="71">'310 &amp; 491'!$I$79:$I$83</definedName>
    <definedName name="OSRRefD21_14x_5" localSheetId="57">'315'!$I$92:$I$93</definedName>
    <definedName name="OSRRefD21_14x_5" localSheetId="68">'325'!$I$77:$I$78</definedName>
    <definedName name="OSRRefD21_14x_5" localSheetId="58">'326'!$I$75:$I$77</definedName>
    <definedName name="OSRRefD21_14x_5" localSheetId="56">'331'!$I$89:$I$90</definedName>
    <definedName name="OSRRefD21_14x_5" localSheetId="73">'405'!$I$82</definedName>
    <definedName name="OSRRefD21_14x_5" localSheetId="75">'411'!$I$69</definedName>
    <definedName name="OSRRefD21_14x_5" localSheetId="79">'415'!$I$76:$I$80</definedName>
    <definedName name="OSRRefD21_14x_5" localSheetId="80">'418'!$I$80</definedName>
    <definedName name="OSRRefD21_14x_5" localSheetId="87">'433'!$I$84</definedName>
    <definedName name="OSRRefD21_14x_5" localSheetId="88">'444'!$I$83</definedName>
    <definedName name="OSRRefD21_14x_5" localSheetId="89">'450'!$I$82</definedName>
    <definedName name="OSRRefD21_14x_5" localSheetId="72">'491'!$I$77:$I$81</definedName>
    <definedName name="OSRRefD21_14x_5" localSheetId="85">'492'!$I$77:$I$84</definedName>
    <definedName name="OSRRefD21_14x_5" localSheetId="39">'Div 2'!$I$73:$I$74</definedName>
    <definedName name="OSRRefD21_14x_5" localSheetId="47">'Div 3'!$I$106</definedName>
    <definedName name="OSRRefD21_14x_5" localSheetId="70">'Div 4'!$I$76:$I$79</definedName>
    <definedName name="OSRRefD21_14x_5" localSheetId="2">Summary!$I$115</definedName>
    <definedName name="OSRRefD21_15_0x" localSheetId="48">'300'!$D$104:$I$104</definedName>
    <definedName name="OSRRefD21_15_0x" localSheetId="49">'300 &amp; 317'!$D$110:$I$110</definedName>
    <definedName name="OSRRefD21_15_0x" localSheetId="50">'301'!$D$70:$I$70</definedName>
    <definedName name="OSRRefD21_15_0x" localSheetId="63">'310'!$D$81:$I$81</definedName>
    <definedName name="OSRRefD21_15_0x" localSheetId="71">'310 &amp; 491'!$D$85:$I$85</definedName>
    <definedName name="OSRRefD21_15_0x" localSheetId="57">'315'!$D$95:$I$95</definedName>
    <definedName name="OSRRefD21_15_0x" localSheetId="68">'325'!$D$80:$I$80</definedName>
    <definedName name="OSRRefD21_15_0x" localSheetId="58">'326'!$D$79:$I$79</definedName>
    <definedName name="OSRRefD21_15_0x" localSheetId="56">'331'!$D$92:$I$92</definedName>
    <definedName name="OSRRefD21_15_0x" localSheetId="73">'405'!$D$84:$I$84</definedName>
    <definedName name="OSRRefD21_15_0x" localSheetId="79">'415'!$D$82:$I$82</definedName>
    <definedName name="OSRRefD21_15_0x" localSheetId="80">'418'!$D$82:$I$82</definedName>
    <definedName name="OSRRefD21_15_0x" localSheetId="87">'433'!$D$86:$I$86</definedName>
    <definedName name="OSRRefD21_15_0x" localSheetId="88">'444'!$D$85:$I$85</definedName>
    <definedName name="OSRRefD21_15_0x" localSheetId="89">'450'!$D$84:$I$84</definedName>
    <definedName name="OSRRefD21_15_0x" localSheetId="72">'491'!$D$83:$I$83</definedName>
    <definedName name="OSRRefD21_15_0x" localSheetId="85">'492'!$D$86:$I$86</definedName>
    <definedName name="OSRRefD21_15_0x" localSheetId="39">'Div 2'!$D$76:$I$76</definedName>
    <definedName name="OSRRefD21_15_0x" localSheetId="47">'Div 3'!$D$108:$I$108</definedName>
    <definedName name="OSRRefD21_15_0x" localSheetId="70">'Div 4'!$D$81:$I$81</definedName>
    <definedName name="OSRRefD21_15_0x" localSheetId="2">Summary!$D$117:$I$117</definedName>
    <definedName name="OSRRefD21_15_1x" localSheetId="50">'301'!$D$71:$I$71</definedName>
    <definedName name="OSRRefD21_15_1x" localSheetId="63">'310'!$D$82:$I$82</definedName>
    <definedName name="OSRRefD21_15_1x" localSheetId="57">'315'!$D$96:$I$96</definedName>
    <definedName name="OSRRefD21_15_1x" localSheetId="56">'331'!$D$93:$I$93</definedName>
    <definedName name="OSRRefD21_15_1x" localSheetId="79">'415'!$D$83:$I$83</definedName>
    <definedName name="OSRRefD21_15_1x" localSheetId="85">'492'!$D$87:$I$87</definedName>
    <definedName name="OSRRefD21_15_2x" localSheetId="50">'301'!$D$72:$I$72</definedName>
    <definedName name="OSRRefD21_15_2x" localSheetId="57">'315'!$D$97:$I$97</definedName>
    <definedName name="OSRRefD21_15_2x" localSheetId="56">'331'!$D$94:$I$94</definedName>
    <definedName name="OSRRefD21_15_3x" localSheetId="50">'301'!$D$73:$I$73</definedName>
    <definedName name="OSRRefD21_15_3x" localSheetId="57">'315'!$D$98:$I$98</definedName>
    <definedName name="OSRRefD21_15x_0" localSheetId="48">'300'!$D$104</definedName>
    <definedName name="OSRRefD21_15x_0" localSheetId="49">'300 &amp; 317'!$D$110</definedName>
    <definedName name="OSRRefD21_15x_0" localSheetId="50">'301'!$D$70:$D$73</definedName>
    <definedName name="OSRRefD21_15x_0" localSheetId="63">'310'!$D$81:$D$82</definedName>
    <definedName name="OSRRefD21_15x_0" localSheetId="71">'310 &amp; 491'!$D$85</definedName>
    <definedName name="OSRRefD21_15x_0" localSheetId="57">'315'!$D$95:$D$98</definedName>
    <definedName name="OSRRefD21_15x_0" localSheetId="68">'325'!$D$80</definedName>
    <definedName name="OSRRefD21_15x_0" localSheetId="58">'326'!$D$79</definedName>
    <definedName name="OSRRefD21_15x_0" localSheetId="56">'331'!$D$92:$D$94</definedName>
    <definedName name="OSRRefD21_15x_0" localSheetId="73">'405'!$D$84</definedName>
    <definedName name="OSRRefD21_15x_0" localSheetId="79">'415'!$D$82:$D$83</definedName>
    <definedName name="OSRRefD21_15x_0" localSheetId="80">'418'!$D$82</definedName>
    <definedName name="OSRRefD21_15x_0" localSheetId="87">'433'!$D$86</definedName>
    <definedName name="OSRRefD21_15x_0" localSheetId="88">'444'!$D$85</definedName>
    <definedName name="OSRRefD21_15x_0" localSheetId="89">'450'!$D$84</definedName>
    <definedName name="OSRRefD21_15x_0" localSheetId="72">'491'!$D$83</definedName>
    <definedName name="OSRRefD21_15x_0" localSheetId="85">'492'!$D$86:$D$87</definedName>
    <definedName name="OSRRefD21_15x_0" localSheetId="39">'Div 2'!$D$76</definedName>
    <definedName name="OSRRefD21_15x_0" localSheetId="47">'Div 3'!$D$108</definedName>
    <definedName name="OSRRefD21_15x_0" localSheetId="70">'Div 4'!$D$81</definedName>
    <definedName name="OSRRefD21_15x_0" localSheetId="2">Summary!$D$117</definedName>
    <definedName name="OSRRefD21_15x_1" localSheetId="48">'300'!$E$104</definedName>
    <definedName name="OSRRefD21_15x_1" localSheetId="49">'300 &amp; 317'!$E$110</definedName>
    <definedName name="OSRRefD21_15x_1" localSheetId="50">'301'!$E$70:$E$73</definedName>
    <definedName name="OSRRefD21_15x_1" localSheetId="63">'310'!$E$81:$E$82</definedName>
    <definedName name="OSRRefD21_15x_1" localSheetId="71">'310 &amp; 491'!$E$85</definedName>
    <definedName name="OSRRefD21_15x_1" localSheetId="57">'315'!$E$95:$E$98</definedName>
    <definedName name="OSRRefD21_15x_1" localSheetId="68">'325'!$E$80</definedName>
    <definedName name="OSRRefD21_15x_1" localSheetId="58">'326'!$E$79</definedName>
    <definedName name="OSRRefD21_15x_1" localSheetId="56">'331'!$E$92:$E$94</definedName>
    <definedName name="OSRRefD21_15x_1" localSheetId="73">'405'!$E$84</definedName>
    <definedName name="OSRRefD21_15x_1" localSheetId="79">'415'!$E$82:$E$83</definedName>
    <definedName name="OSRRefD21_15x_1" localSheetId="80">'418'!$E$82</definedName>
    <definedName name="OSRRefD21_15x_1" localSheetId="87">'433'!$E$86</definedName>
    <definedName name="OSRRefD21_15x_1" localSheetId="88">'444'!$E$85</definedName>
    <definedName name="OSRRefD21_15x_1" localSheetId="89">'450'!$E$84</definedName>
    <definedName name="OSRRefD21_15x_1" localSheetId="72">'491'!$E$83</definedName>
    <definedName name="OSRRefD21_15x_1" localSheetId="85">'492'!$E$86:$E$87</definedName>
    <definedName name="OSRRefD21_15x_1" localSheetId="39">'Div 2'!$E$76</definedName>
    <definedName name="OSRRefD21_15x_1" localSheetId="47">'Div 3'!$E$108</definedName>
    <definedName name="OSRRefD21_15x_1" localSheetId="70">'Div 4'!$E$81</definedName>
    <definedName name="OSRRefD21_15x_1" localSheetId="2">Summary!$E$117</definedName>
    <definedName name="OSRRefD21_15x_2" localSheetId="48">'300'!$F$104</definedName>
    <definedName name="OSRRefD21_15x_2" localSheetId="49">'300 &amp; 317'!$F$110</definedName>
    <definedName name="OSRRefD21_15x_2" localSheetId="50">'301'!$F$70:$F$73</definedName>
    <definedName name="OSRRefD21_15x_2" localSheetId="63">'310'!$F$81:$F$82</definedName>
    <definedName name="OSRRefD21_15x_2" localSheetId="71">'310 &amp; 491'!$F$85</definedName>
    <definedName name="OSRRefD21_15x_2" localSheetId="57">'315'!$F$95:$F$98</definedName>
    <definedName name="OSRRefD21_15x_2" localSheetId="68">'325'!$F$80</definedName>
    <definedName name="OSRRefD21_15x_2" localSheetId="58">'326'!$F$79</definedName>
    <definedName name="OSRRefD21_15x_2" localSheetId="56">'331'!$F$92:$F$94</definedName>
    <definedName name="OSRRefD21_15x_2" localSheetId="73">'405'!$F$84</definedName>
    <definedName name="OSRRefD21_15x_2" localSheetId="79">'415'!$F$82:$F$83</definedName>
    <definedName name="OSRRefD21_15x_2" localSheetId="80">'418'!$F$82</definedName>
    <definedName name="OSRRefD21_15x_2" localSheetId="87">'433'!$F$86</definedName>
    <definedName name="OSRRefD21_15x_2" localSheetId="88">'444'!$F$85</definedName>
    <definedName name="OSRRefD21_15x_2" localSheetId="89">'450'!$F$84</definedName>
    <definedName name="OSRRefD21_15x_2" localSheetId="72">'491'!$F$83</definedName>
    <definedName name="OSRRefD21_15x_2" localSheetId="85">'492'!$F$86:$F$87</definedName>
    <definedName name="OSRRefD21_15x_2" localSheetId="39">'Div 2'!$F$76</definedName>
    <definedName name="OSRRefD21_15x_2" localSheetId="47">'Div 3'!$F$108</definedName>
    <definedName name="OSRRefD21_15x_2" localSheetId="70">'Div 4'!$F$81</definedName>
    <definedName name="OSRRefD21_15x_2" localSheetId="2">Summary!$F$117</definedName>
    <definedName name="OSRRefD21_15x_3" localSheetId="48">'300'!$G$104</definedName>
    <definedName name="OSRRefD21_15x_3" localSheetId="49">'300 &amp; 317'!$G$110</definedName>
    <definedName name="OSRRefD21_15x_3" localSheetId="50">'301'!$G$70:$G$73</definedName>
    <definedName name="OSRRefD21_15x_3" localSheetId="63">'310'!$G$81:$G$82</definedName>
    <definedName name="OSRRefD21_15x_3" localSheetId="71">'310 &amp; 491'!$G$85</definedName>
    <definedName name="OSRRefD21_15x_3" localSheetId="57">'315'!$G$95:$G$98</definedName>
    <definedName name="OSRRefD21_15x_3" localSheetId="68">'325'!$G$80</definedName>
    <definedName name="OSRRefD21_15x_3" localSheetId="58">'326'!$G$79</definedName>
    <definedName name="OSRRefD21_15x_3" localSheetId="56">'331'!$G$92:$G$94</definedName>
    <definedName name="OSRRefD21_15x_3" localSheetId="73">'405'!$G$84</definedName>
    <definedName name="OSRRefD21_15x_3" localSheetId="79">'415'!$G$82:$G$83</definedName>
    <definedName name="OSRRefD21_15x_3" localSheetId="80">'418'!$G$82</definedName>
    <definedName name="OSRRefD21_15x_3" localSheetId="87">'433'!$G$86</definedName>
    <definedName name="OSRRefD21_15x_3" localSheetId="88">'444'!$G$85</definedName>
    <definedName name="OSRRefD21_15x_3" localSheetId="89">'450'!$G$84</definedName>
    <definedName name="OSRRefD21_15x_3" localSheetId="72">'491'!$G$83</definedName>
    <definedName name="OSRRefD21_15x_3" localSheetId="85">'492'!$G$86:$G$87</definedName>
    <definedName name="OSRRefD21_15x_3" localSheetId="39">'Div 2'!$G$76</definedName>
    <definedName name="OSRRefD21_15x_3" localSheetId="47">'Div 3'!$G$108</definedName>
    <definedName name="OSRRefD21_15x_3" localSheetId="70">'Div 4'!$G$81</definedName>
    <definedName name="OSRRefD21_15x_3" localSheetId="2">Summary!$G$117</definedName>
    <definedName name="OSRRefD21_15x_4" localSheetId="48">'300'!$H$104</definedName>
    <definedName name="OSRRefD21_15x_4" localSheetId="49">'300 &amp; 317'!$H$110</definedName>
    <definedName name="OSRRefD21_15x_4" localSheetId="50">'301'!$H$70:$H$73</definedName>
    <definedName name="OSRRefD21_15x_4" localSheetId="63">'310'!$H$81:$H$82</definedName>
    <definedName name="OSRRefD21_15x_4" localSheetId="71">'310 &amp; 491'!$H$85</definedName>
    <definedName name="OSRRefD21_15x_4" localSheetId="57">'315'!$H$95:$H$98</definedName>
    <definedName name="OSRRefD21_15x_4" localSheetId="68">'325'!$H$80</definedName>
    <definedName name="OSRRefD21_15x_4" localSheetId="58">'326'!$H$79</definedName>
    <definedName name="OSRRefD21_15x_4" localSheetId="56">'331'!$H$92:$H$94</definedName>
    <definedName name="OSRRefD21_15x_4" localSheetId="73">'405'!$H$84</definedName>
    <definedName name="OSRRefD21_15x_4" localSheetId="79">'415'!$H$82:$H$83</definedName>
    <definedName name="OSRRefD21_15x_4" localSheetId="80">'418'!$H$82</definedName>
    <definedName name="OSRRefD21_15x_4" localSheetId="87">'433'!$H$86</definedName>
    <definedName name="OSRRefD21_15x_4" localSheetId="88">'444'!$H$85</definedName>
    <definedName name="OSRRefD21_15x_4" localSheetId="89">'450'!$H$84</definedName>
    <definedName name="OSRRefD21_15x_4" localSheetId="72">'491'!$H$83</definedName>
    <definedName name="OSRRefD21_15x_4" localSheetId="85">'492'!$H$86:$H$87</definedName>
    <definedName name="OSRRefD21_15x_4" localSheetId="39">'Div 2'!$H$76</definedName>
    <definedName name="OSRRefD21_15x_4" localSheetId="47">'Div 3'!$H$108</definedName>
    <definedName name="OSRRefD21_15x_4" localSheetId="70">'Div 4'!$H$81</definedName>
    <definedName name="OSRRefD21_15x_4" localSheetId="2">Summary!$H$117</definedName>
    <definedName name="OSRRefD21_15x_5" localSheetId="48">'300'!$I$104</definedName>
    <definedName name="OSRRefD21_15x_5" localSheetId="49">'300 &amp; 317'!$I$110</definedName>
    <definedName name="OSRRefD21_15x_5" localSheetId="50">'301'!$I$70:$I$73</definedName>
    <definedName name="OSRRefD21_15x_5" localSheetId="63">'310'!$I$81:$I$82</definedName>
    <definedName name="OSRRefD21_15x_5" localSheetId="71">'310 &amp; 491'!$I$85</definedName>
    <definedName name="OSRRefD21_15x_5" localSheetId="57">'315'!$I$95:$I$98</definedName>
    <definedName name="OSRRefD21_15x_5" localSheetId="68">'325'!$I$80</definedName>
    <definedName name="OSRRefD21_15x_5" localSheetId="58">'326'!$I$79</definedName>
    <definedName name="OSRRefD21_15x_5" localSheetId="56">'331'!$I$92:$I$94</definedName>
    <definedName name="OSRRefD21_15x_5" localSheetId="73">'405'!$I$84</definedName>
    <definedName name="OSRRefD21_15x_5" localSheetId="79">'415'!$I$82:$I$83</definedName>
    <definedName name="OSRRefD21_15x_5" localSheetId="80">'418'!$I$82</definedName>
    <definedName name="OSRRefD21_15x_5" localSheetId="87">'433'!$I$86</definedName>
    <definedName name="OSRRefD21_15x_5" localSheetId="88">'444'!$I$85</definedName>
    <definedName name="OSRRefD21_15x_5" localSheetId="89">'450'!$I$84</definedName>
    <definedName name="OSRRefD21_15x_5" localSheetId="72">'491'!$I$83</definedName>
    <definedName name="OSRRefD21_15x_5" localSheetId="85">'492'!$I$86:$I$87</definedName>
    <definedName name="OSRRefD21_15x_5" localSheetId="39">'Div 2'!$I$76</definedName>
    <definedName name="OSRRefD21_15x_5" localSheetId="47">'Div 3'!$I$108</definedName>
    <definedName name="OSRRefD21_15x_5" localSheetId="70">'Div 4'!$I$81</definedName>
    <definedName name="OSRRefD21_15x_5" localSheetId="2">Summary!$I$117</definedName>
    <definedName name="OSRRefD21_16_0x" localSheetId="48">'300'!$D$106:$I$106</definedName>
    <definedName name="OSRRefD21_16_0x" localSheetId="49">'300 &amp; 317'!$D$112:$I$112</definedName>
    <definedName name="OSRRefD21_16_0x" localSheetId="50">'301'!$D$75:$I$75</definedName>
    <definedName name="OSRRefD21_16_0x" localSheetId="63">'310'!$D$84:$I$84</definedName>
    <definedName name="OSRRefD21_16_0x" localSheetId="71">'310 &amp; 491'!$D$87:$I$87</definedName>
    <definedName name="OSRRefD21_16_0x" localSheetId="57">'315'!$D$100:$I$100</definedName>
    <definedName name="OSRRefD21_16_0x" localSheetId="58">'326'!$D$81:$I$81</definedName>
    <definedName name="OSRRefD21_16_0x" localSheetId="56">'331'!$D$96:$I$96</definedName>
    <definedName name="OSRRefD21_16_0x" localSheetId="73">'405'!$D$86:$I$86</definedName>
    <definedName name="OSRRefD21_16_0x" localSheetId="79">'415'!$D$85:$I$85</definedName>
    <definedName name="OSRRefD21_16_0x" localSheetId="89">'450'!$D$86:$I$86</definedName>
    <definedName name="OSRRefD21_16_0x" localSheetId="72">'491'!$D$85:$I$85</definedName>
    <definedName name="OSRRefD21_16_0x" localSheetId="85">'492'!$D$89:$I$89</definedName>
    <definedName name="OSRRefD21_16_0x" localSheetId="39">'Div 2'!$D$78:$I$78</definedName>
    <definedName name="OSRRefD21_16_0x" localSheetId="47">'Div 3'!$D$110:$I$110</definedName>
    <definedName name="OSRRefD21_16_0x" localSheetId="70">'Div 4'!$D$83:$I$83</definedName>
    <definedName name="OSRRefD21_16_0x" localSheetId="2">Summary!$D$119:$I$119</definedName>
    <definedName name="OSRRefD21_16_1x" localSheetId="48">'300'!$D$107:$I$107</definedName>
    <definedName name="OSRRefD21_16_1x" localSheetId="49">'300 &amp; 317'!$D$113:$I$113</definedName>
    <definedName name="OSRRefD21_16_1x" localSheetId="50">'301'!$D$76:$I$76</definedName>
    <definedName name="OSRRefD21_16_1x" localSheetId="71">'310 &amp; 491'!$D$88:$I$88</definedName>
    <definedName name="OSRRefD21_16_1x" localSheetId="58">'326'!$D$82:$I$82</definedName>
    <definedName name="OSRRefD21_16_1x" localSheetId="56">'331'!$D$97:$I$97</definedName>
    <definedName name="OSRRefD21_16_1x" localSheetId="72">'491'!$D$86:$I$86</definedName>
    <definedName name="OSRRefD21_16_1x" localSheetId="39">'Div 2'!$D$79:$I$79</definedName>
    <definedName name="OSRRefD21_16_1x" localSheetId="70">'Div 4'!$D$84:$I$84</definedName>
    <definedName name="OSRRefD21_16_2x" localSheetId="48">'300'!$D$108:$I$108</definedName>
    <definedName name="OSRRefD21_16_2x" localSheetId="49">'300 &amp; 317'!$D$114:$I$114</definedName>
    <definedName name="OSRRefD21_16_2x" localSheetId="71">'310 &amp; 491'!$D$89:$I$89</definedName>
    <definedName name="OSRRefD21_16_2x" localSheetId="72">'491'!$D$87:$I$87</definedName>
    <definedName name="OSRRefD21_16_2x" localSheetId="39">'Div 2'!$D$80:$I$80</definedName>
    <definedName name="OSRRefD21_16_2x" localSheetId="70">'Div 4'!$D$85:$I$85</definedName>
    <definedName name="OSRRefD21_16_3x" localSheetId="48">'300'!$D$109:$I$109</definedName>
    <definedName name="OSRRefD21_16_3x" localSheetId="49">'300 &amp; 317'!$D$115:$I$115</definedName>
    <definedName name="OSRRefD21_16_3x" localSheetId="71">'310 &amp; 491'!$D$90:$I$90</definedName>
    <definedName name="OSRRefD21_16_3x" localSheetId="72">'491'!$D$88:$I$88</definedName>
    <definedName name="OSRRefD21_16_3x" localSheetId="39">'Div 2'!$D$81:$I$81</definedName>
    <definedName name="OSRRefD21_16_3x" localSheetId="70">'Div 4'!$D$86:$I$86</definedName>
    <definedName name="OSRRefD21_16_4x" localSheetId="71">'310 &amp; 491'!$D$91:$I$91</definedName>
    <definedName name="OSRRefD21_16_4x" localSheetId="72">'491'!$D$89:$I$89</definedName>
    <definedName name="OSRRefD21_16_4x" localSheetId="39">'Div 2'!$D$82:$I$82</definedName>
    <definedName name="OSRRefD21_16_4x" localSheetId="70">'Div 4'!$D$87:$I$87</definedName>
    <definedName name="OSRRefD21_16_5x" localSheetId="71">'310 &amp; 491'!$D$92:$I$92</definedName>
    <definedName name="OSRRefD21_16_5x" localSheetId="72">'491'!$D$90:$I$90</definedName>
    <definedName name="OSRRefD21_16_6x" localSheetId="71">'310 &amp; 491'!$D$93:$I$93</definedName>
    <definedName name="OSRRefD21_16_6x" localSheetId="72">'491'!$D$91:$I$91</definedName>
    <definedName name="OSRRefD21_16_7x" localSheetId="71">'310 &amp; 491'!$D$94:$I$94</definedName>
    <definedName name="OSRRefD21_16_7x" localSheetId="72">'491'!$D$92:$I$92</definedName>
    <definedName name="OSRRefD21_16_8x" localSheetId="71">'310 &amp; 491'!$D$95:$I$95</definedName>
    <definedName name="OSRRefD21_16_8x" localSheetId="72">'491'!$D$93:$I$93</definedName>
    <definedName name="OSRRefD21_16_9x" localSheetId="71">'310 &amp; 491'!$D$96:$I$96</definedName>
    <definedName name="OSRRefD21_16x_0" localSheetId="48">'300'!$D$106:$D$109</definedName>
    <definedName name="OSRRefD21_16x_0" localSheetId="49">'300 &amp; 317'!$D$112:$D$115</definedName>
    <definedName name="OSRRefD21_16x_0" localSheetId="50">'301'!$D$75:$D$76</definedName>
    <definedName name="OSRRefD21_16x_0" localSheetId="63">'310'!$D$84</definedName>
    <definedName name="OSRRefD21_16x_0" localSheetId="71">'310 &amp; 491'!$D$87:$D$96</definedName>
    <definedName name="OSRRefD21_16x_0" localSheetId="57">'315'!$D$100</definedName>
    <definedName name="OSRRefD21_16x_0" localSheetId="58">'326'!$D$81:$D$82</definedName>
    <definedName name="OSRRefD21_16x_0" localSheetId="56">'331'!$D$96:$D$97</definedName>
    <definedName name="OSRRefD21_16x_0" localSheetId="73">'405'!$D$86</definedName>
    <definedName name="OSRRefD21_16x_0" localSheetId="79">'415'!$D$85</definedName>
    <definedName name="OSRRefD21_16x_0" localSheetId="89">'450'!$D$86</definedName>
    <definedName name="OSRRefD21_16x_0" localSheetId="72">'491'!$D$85:$D$93</definedName>
    <definedName name="OSRRefD21_16x_0" localSheetId="85">'492'!$D$89</definedName>
    <definedName name="OSRRefD21_16x_0" localSheetId="39">'Div 2'!$D$78:$D$82</definedName>
    <definedName name="OSRRefD21_16x_0" localSheetId="47">'Div 3'!$D$110</definedName>
    <definedName name="OSRRefD21_16x_0" localSheetId="70">'Div 4'!$D$83:$D$87</definedName>
    <definedName name="OSRRefD21_16x_0" localSheetId="2">Summary!$D$119</definedName>
    <definedName name="OSRRefD21_16x_1" localSheetId="48">'300'!$E$106:$E$109</definedName>
    <definedName name="OSRRefD21_16x_1" localSheetId="49">'300 &amp; 317'!$E$112:$E$115</definedName>
    <definedName name="OSRRefD21_16x_1" localSheetId="50">'301'!$E$75:$E$76</definedName>
    <definedName name="OSRRefD21_16x_1" localSheetId="63">'310'!$E$84</definedName>
    <definedName name="OSRRefD21_16x_1" localSheetId="71">'310 &amp; 491'!$E$87:$E$96</definedName>
    <definedName name="OSRRefD21_16x_1" localSheetId="57">'315'!$E$100</definedName>
    <definedName name="OSRRefD21_16x_1" localSheetId="58">'326'!$E$81:$E$82</definedName>
    <definedName name="OSRRefD21_16x_1" localSheetId="56">'331'!$E$96:$E$97</definedName>
    <definedName name="OSRRefD21_16x_1" localSheetId="73">'405'!$E$86</definedName>
    <definedName name="OSRRefD21_16x_1" localSheetId="79">'415'!$E$85</definedName>
    <definedName name="OSRRefD21_16x_1" localSheetId="89">'450'!$E$86</definedName>
    <definedName name="OSRRefD21_16x_1" localSheetId="72">'491'!$E$85:$E$93</definedName>
    <definedName name="OSRRefD21_16x_1" localSheetId="85">'492'!$E$89</definedName>
    <definedName name="OSRRefD21_16x_1" localSheetId="39">'Div 2'!$E$78:$E$82</definedName>
    <definedName name="OSRRefD21_16x_1" localSheetId="47">'Div 3'!$E$110</definedName>
    <definedName name="OSRRefD21_16x_1" localSheetId="70">'Div 4'!$E$83:$E$87</definedName>
    <definedName name="OSRRefD21_16x_1" localSheetId="2">Summary!$E$119</definedName>
    <definedName name="OSRRefD21_16x_2" localSheetId="48">'300'!$F$106:$F$109</definedName>
    <definedName name="OSRRefD21_16x_2" localSheetId="49">'300 &amp; 317'!$F$112:$F$115</definedName>
    <definedName name="OSRRefD21_16x_2" localSheetId="50">'301'!$F$75:$F$76</definedName>
    <definedName name="OSRRefD21_16x_2" localSheetId="63">'310'!$F$84</definedName>
    <definedName name="OSRRefD21_16x_2" localSheetId="71">'310 &amp; 491'!$F$87:$F$96</definedName>
    <definedName name="OSRRefD21_16x_2" localSheetId="57">'315'!$F$100</definedName>
    <definedName name="OSRRefD21_16x_2" localSheetId="58">'326'!$F$81:$F$82</definedName>
    <definedName name="OSRRefD21_16x_2" localSheetId="56">'331'!$F$96:$F$97</definedName>
    <definedName name="OSRRefD21_16x_2" localSheetId="73">'405'!$F$86</definedName>
    <definedName name="OSRRefD21_16x_2" localSheetId="79">'415'!$F$85</definedName>
    <definedName name="OSRRefD21_16x_2" localSheetId="89">'450'!$F$86</definedName>
    <definedName name="OSRRefD21_16x_2" localSheetId="72">'491'!$F$85:$F$93</definedName>
    <definedName name="OSRRefD21_16x_2" localSheetId="85">'492'!$F$89</definedName>
    <definedName name="OSRRefD21_16x_2" localSheetId="39">'Div 2'!$F$78:$F$82</definedName>
    <definedName name="OSRRefD21_16x_2" localSheetId="47">'Div 3'!$F$110</definedName>
    <definedName name="OSRRefD21_16x_2" localSheetId="70">'Div 4'!$F$83:$F$87</definedName>
    <definedName name="OSRRefD21_16x_2" localSheetId="2">Summary!$F$119</definedName>
    <definedName name="OSRRefD21_16x_3" localSheetId="48">'300'!$G$106:$G$109</definedName>
    <definedName name="OSRRefD21_16x_3" localSheetId="49">'300 &amp; 317'!$G$112:$G$115</definedName>
    <definedName name="OSRRefD21_16x_3" localSheetId="50">'301'!$G$75:$G$76</definedName>
    <definedName name="OSRRefD21_16x_3" localSheetId="63">'310'!$G$84</definedName>
    <definedName name="OSRRefD21_16x_3" localSheetId="71">'310 &amp; 491'!$G$87:$G$96</definedName>
    <definedName name="OSRRefD21_16x_3" localSheetId="57">'315'!$G$100</definedName>
    <definedName name="OSRRefD21_16x_3" localSheetId="58">'326'!$G$81:$G$82</definedName>
    <definedName name="OSRRefD21_16x_3" localSheetId="56">'331'!$G$96:$G$97</definedName>
    <definedName name="OSRRefD21_16x_3" localSheetId="73">'405'!$G$86</definedName>
    <definedName name="OSRRefD21_16x_3" localSheetId="79">'415'!$G$85</definedName>
    <definedName name="OSRRefD21_16x_3" localSheetId="89">'450'!$G$86</definedName>
    <definedName name="OSRRefD21_16x_3" localSheetId="72">'491'!$G$85:$G$93</definedName>
    <definedName name="OSRRefD21_16x_3" localSheetId="85">'492'!$G$89</definedName>
    <definedName name="OSRRefD21_16x_3" localSheetId="39">'Div 2'!$G$78:$G$82</definedName>
    <definedName name="OSRRefD21_16x_3" localSheetId="47">'Div 3'!$G$110</definedName>
    <definedName name="OSRRefD21_16x_3" localSheetId="70">'Div 4'!$G$83:$G$87</definedName>
    <definedName name="OSRRefD21_16x_3" localSheetId="2">Summary!$G$119</definedName>
    <definedName name="OSRRefD21_16x_4" localSheetId="48">'300'!$H$106:$H$109</definedName>
    <definedName name="OSRRefD21_16x_4" localSheetId="49">'300 &amp; 317'!$H$112:$H$115</definedName>
    <definedName name="OSRRefD21_16x_4" localSheetId="50">'301'!$H$75:$H$76</definedName>
    <definedName name="OSRRefD21_16x_4" localSheetId="63">'310'!$H$84</definedName>
    <definedName name="OSRRefD21_16x_4" localSheetId="71">'310 &amp; 491'!$H$87:$H$96</definedName>
    <definedName name="OSRRefD21_16x_4" localSheetId="57">'315'!$H$100</definedName>
    <definedName name="OSRRefD21_16x_4" localSheetId="58">'326'!$H$81:$H$82</definedName>
    <definedName name="OSRRefD21_16x_4" localSheetId="56">'331'!$H$96:$H$97</definedName>
    <definedName name="OSRRefD21_16x_4" localSheetId="73">'405'!$H$86</definedName>
    <definedName name="OSRRefD21_16x_4" localSheetId="79">'415'!$H$85</definedName>
    <definedName name="OSRRefD21_16x_4" localSheetId="89">'450'!$H$86</definedName>
    <definedName name="OSRRefD21_16x_4" localSheetId="72">'491'!$H$85:$H$93</definedName>
    <definedName name="OSRRefD21_16x_4" localSheetId="85">'492'!$H$89</definedName>
    <definedName name="OSRRefD21_16x_4" localSheetId="39">'Div 2'!$H$78:$H$82</definedName>
    <definedName name="OSRRefD21_16x_4" localSheetId="47">'Div 3'!$H$110</definedName>
    <definedName name="OSRRefD21_16x_4" localSheetId="70">'Div 4'!$H$83:$H$87</definedName>
    <definedName name="OSRRefD21_16x_4" localSheetId="2">Summary!$H$119</definedName>
    <definedName name="OSRRefD21_16x_5" localSheetId="48">'300'!$I$106:$I$109</definedName>
    <definedName name="OSRRefD21_16x_5" localSheetId="49">'300 &amp; 317'!$I$112:$I$115</definedName>
    <definedName name="OSRRefD21_16x_5" localSheetId="50">'301'!$I$75:$I$76</definedName>
    <definedName name="OSRRefD21_16x_5" localSheetId="63">'310'!$I$84</definedName>
    <definedName name="OSRRefD21_16x_5" localSheetId="71">'310 &amp; 491'!$I$87:$I$96</definedName>
    <definedName name="OSRRefD21_16x_5" localSheetId="57">'315'!$I$100</definedName>
    <definedName name="OSRRefD21_16x_5" localSheetId="58">'326'!$I$81:$I$82</definedName>
    <definedName name="OSRRefD21_16x_5" localSheetId="56">'331'!$I$96:$I$97</definedName>
    <definedName name="OSRRefD21_16x_5" localSheetId="73">'405'!$I$86</definedName>
    <definedName name="OSRRefD21_16x_5" localSheetId="79">'415'!$I$85</definedName>
    <definedName name="OSRRefD21_16x_5" localSheetId="89">'450'!$I$86</definedName>
    <definedName name="OSRRefD21_16x_5" localSheetId="72">'491'!$I$85:$I$93</definedName>
    <definedName name="OSRRefD21_16x_5" localSheetId="85">'492'!$I$89</definedName>
    <definedName name="OSRRefD21_16x_5" localSheetId="39">'Div 2'!$I$78:$I$82</definedName>
    <definedName name="OSRRefD21_16x_5" localSheetId="47">'Div 3'!$I$110</definedName>
    <definedName name="OSRRefD21_16x_5" localSheetId="70">'Div 4'!$I$83:$I$87</definedName>
    <definedName name="OSRRefD21_16x_5" localSheetId="2">Summary!$I$119</definedName>
    <definedName name="OSRRefD21_17_0x" localSheetId="48">'300'!$D$111:$I$111</definedName>
    <definedName name="OSRRefD21_17_0x" localSheetId="49">'300 &amp; 317'!$D$117:$I$117</definedName>
    <definedName name="OSRRefD21_17_0x" localSheetId="50">'301'!$D$78:$I$78</definedName>
    <definedName name="OSRRefD21_17_0x" localSheetId="63">'310'!$D$86:$I$86</definedName>
    <definedName name="OSRRefD21_17_0x" localSheetId="71">'310 &amp; 491'!$D$98:$I$98</definedName>
    <definedName name="OSRRefD21_17_0x" localSheetId="57">'315'!$D$102:$I$102</definedName>
    <definedName name="OSRRefD21_17_0x" localSheetId="58">'326'!$D$84:$I$84</definedName>
    <definedName name="OSRRefD21_17_0x" localSheetId="56">'331'!$D$99:$I$99</definedName>
    <definedName name="OSRRefD21_17_0x" localSheetId="79">'415'!$D$87:$I$87</definedName>
    <definedName name="OSRRefD21_17_0x" localSheetId="72">'491'!$D$95:$I$95</definedName>
    <definedName name="OSRRefD21_17_0x" localSheetId="85">'492'!$D$91:$I$91</definedName>
    <definedName name="OSRRefD21_17_0x" localSheetId="39">'Div 2'!$D$84:$I$84</definedName>
    <definedName name="OSRRefD21_17_0x" localSheetId="47">'Div 3'!$D$112:$I$112</definedName>
    <definedName name="OSRRefD21_17_0x" localSheetId="70">'Div 4'!$D$89:$I$89</definedName>
    <definedName name="OSRRefD21_17_0x" localSheetId="2">Summary!$D$121:$I$121</definedName>
    <definedName name="OSRRefD21_17_1x" localSheetId="48">'300'!$D$112:$I$112</definedName>
    <definedName name="OSRRefD21_17_1x" localSheetId="49">'300 &amp; 317'!$D$118:$I$118</definedName>
    <definedName name="OSRRefD21_17_1x" localSheetId="71">'310 &amp; 491'!$D$99:$I$99</definedName>
    <definedName name="OSRRefD21_17_1x" localSheetId="56">'331'!$D$100:$I$100</definedName>
    <definedName name="OSRRefD21_17_1x" localSheetId="72">'491'!$D$96:$I$96</definedName>
    <definedName name="OSRRefD21_17_1x" localSheetId="85">'492'!$D$92:$I$92</definedName>
    <definedName name="OSRRefD21_17_1x" localSheetId="39">'Div 2'!$D$85:$I$85</definedName>
    <definedName name="OSRRefD21_17_1x" localSheetId="47">'Div 3'!$D$113:$I$113</definedName>
    <definedName name="OSRRefD21_17_2x" localSheetId="48">'300'!$D$113:$I$113</definedName>
    <definedName name="OSRRefD21_17_2x" localSheetId="49">'300 &amp; 317'!$D$119:$I$119</definedName>
    <definedName name="OSRRefD21_17_2x" localSheetId="47">'Div 3'!$D$114:$I$114</definedName>
    <definedName name="OSRRefD21_17_3x" localSheetId="48">'300'!$D$114:$I$114</definedName>
    <definedName name="OSRRefD21_17_3x" localSheetId="49">'300 &amp; 317'!$D$120:$I$120</definedName>
    <definedName name="OSRRefD21_17_3x" localSheetId="47">'Div 3'!$D$115:$I$115</definedName>
    <definedName name="OSRRefD21_17x_0" localSheetId="48">'300'!$D$111:$D$114</definedName>
    <definedName name="OSRRefD21_17x_0" localSheetId="49">'300 &amp; 317'!$D$117:$D$120</definedName>
    <definedName name="OSRRefD21_17x_0" localSheetId="50">'301'!$D$78</definedName>
    <definedName name="OSRRefD21_17x_0" localSheetId="63">'310'!$D$86</definedName>
    <definedName name="OSRRefD21_17x_0" localSheetId="71">'310 &amp; 491'!$D$98:$D$99</definedName>
    <definedName name="OSRRefD21_17x_0" localSheetId="57">'315'!$D$102</definedName>
    <definedName name="OSRRefD21_17x_0" localSheetId="58">'326'!$D$84</definedName>
    <definedName name="OSRRefD21_17x_0" localSheetId="56">'331'!$D$99:$D$100</definedName>
    <definedName name="OSRRefD21_17x_0" localSheetId="79">'415'!$D$87</definedName>
    <definedName name="OSRRefD21_17x_0" localSheetId="72">'491'!$D$95:$D$96</definedName>
    <definedName name="OSRRefD21_17x_0" localSheetId="85">'492'!$D$91:$D$92</definedName>
    <definedName name="OSRRefD21_17x_0" localSheetId="39">'Div 2'!$D$84:$D$85</definedName>
    <definedName name="OSRRefD21_17x_0" localSheetId="47">'Div 3'!$D$112:$D$115</definedName>
    <definedName name="OSRRefD21_17x_0" localSheetId="70">'Div 4'!$D$89</definedName>
    <definedName name="OSRRefD21_17x_0" localSheetId="2">Summary!$D$121</definedName>
    <definedName name="OSRRefD21_17x_1" localSheetId="48">'300'!$E$111:$E$114</definedName>
    <definedName name="OSRRefD21_17x_1" localSheetId="49">'300 &amp; 317'!$E$117:$E$120</definedName>
    <definedName name="OSRRefD21_17x_1" localSheetId="50">'301'!$E$78</definedName>
    <definedName name="OSRRefD21_17x_1" localSheetId="63">'310'!$E$86</definedName>
    <definedName name="OSRRefD21_17x_1" localSheetId="71">'310 &amp; 491'!$E$98:$E$99</definedName>
    <definedName name="OSRRefD21_17x_1" localSheetId="57">'315'!$E$102</definedName>
    <definedName name="OSRRefD21_17x_1" localSheetId="58">'326'!$E$84</definedName>
    <definedName name="OSRRefD21_17x_1" localSheetId="56">'331'!$E$99:$E$100</definedName>
    <definedName name="OSRRefD21_17x_1" localSheetId="79">'415'!$E$87</definedName>
    <definedName name="OSRRefD21_17x_1" localSheetId="72">'491'!$E$95:$E$96</definedName>
    <definedName name="OSRRefD21_17x_1" localSheetId="85">'492'!$E$91:$E$92</definedName>
    <definedName name="OSRRefD21_17x_1" localSheetId="39">'Div 2'!$E$84:$E$85</definedName>
    <definedName name="OSRRefD21_17x_1" localSheetId="47">'Div 3'!$E$112:$E$115</definedName>
    <definedName name="OSRRefD21_17x_1" localSheetId="70">'Div 4'!$E$89</definedName>
    <definedName name="OSRRefD21_17x_1" localSheetId="2">Summary!$E$121</definedName>
    <definedName name="OSRRefD21_17x_2" localSheetId="48">'300'!$F$111:$F$114</definedName>
    <definedName name="OSRRefD21_17x_2" localSheetId="49">'300 &amp; 317'!$F$117:$F$120</definedName>
    <definedName name="OSRRefD21_17x_2" localSheetId="50">'301'!$F$78</definedName>
    <definedName name="OSRRefD21_17x_2" localSheetId="63">'310'!$F$86</definedName>
    <definedName name="OSRRefD21_17x_2" localSheetId="71">'310 &amp; 491'!$F$98:$F$99</definedName>
    <definedName name="OSRRefD21_17x_2" localSheetId="57">'315'!$F$102</definedName>
    <definedName name="OSRRefD21_17x_2" localSheetId="58">'326'!$F$84</definedName>
    <definedName name="OSRRefD21_17x_2" localSheetId="56">'331'!$F$99:$F$100</definedName>
    <definedName name="OSRRefD21_17x_2" localSheetId="79">'415'!$F$87</definedName>
    <definedName name="OSRRefD21_17x_2" localSheetId="72">'491'!$F$95:$F$96</definedName>
    <definedName name="OSRRefD21_17x_2" localSheetId="85">'492'!$F$91:$F$92</definedName>
    <definedName name="OSRRefD21_17x_2" localSheetId="39">'Div 2'!$F$84:$F$85</definedName>
    <definedName name="OSRRefD21_17x_2" localSheetId="47">'Div 3'!$F$112:$F$115</definedName>
    <definedName name="OSRRefD21_17x_2" localSheetId="70">'Div 4'!$F$89</definedName>
    <definedName name="OSRRefD21_17x_2" localSheetId="2">Summary!$F$121</definedName>
    <definedName name="OSRRefD21_17x_3" localSheetId="48">'300'!$G$111:$G$114</definedName>
    <definedName name="OSRRefD21_17x_3" localSheetId="49">'300 &amp; 317'!$G$117:$G$120</definedName>
    <definedName name="OSRRefD21_17x_3" localSheetId="50">'301'!$G$78</definedName>
    <definedName name="OSRRefD21_17x_3" localSheetId="63">'310'!$G$86</definedName>
    <definedName name="OSRRefD21_17x_3" localSheetId="71">'310 &amp; 491'!$G$98:$G$99</definedName>
    <definedName name="OSRRefD21_17x_3" localSheetId="57">'315'!$G$102</definedName>
    <definedName name="OSRRefD21_17x_3" localSheetId="58">'326'!$G$84</definedName>
    <definedName name="OSRRefD21_17x_3" localSheetId="56">'331'!$G$99:$G$100</definedName>
    <definedName name="OSRRefD21_17x_3" localSheetId="79">'415'!$G$87</definedName>
    <definedName name="OSRRefD21_17x_3" localSheetId="72">'491'!$G$95:$G$96</definedName>
    <definedName name="OSRRefD21_17x_3" localSheetId="85">'492'!$G$91:$G$92</definedName>
    <definedName name="OSRRefD21_17x_3" localSheetId="39">'Div 2'!$G$84:$G$85</definedName>
    <definedName name="OSRRefD21_17x_3" localSheetId="47">'Div 3'!$G$112:$G$115</definedName>
    <definedName name="OSRRefD21_17x_3" localSheetId="70">'Div 4'!$G$89</definedName>
    <definedName name="OSRRefD21_17x_3" localSheetId="2">Summary!$G$121</definedName>
    <definedName name="OSRRefD21_17x_4" localSheetId="48">'300'!$H$111:$H$114</definedName>
    <definedName name="OSRRefD21_17x_4" localSheetId="49">'300 &amp; 317'!$H$117:$H$120</definedName>
    <definedName name="OSRRefD21_17x_4" localSheetId="50">'301'!$H$78</definedName>
    <definedName name="OSRRefD21_17x_4" localSheetId="63">'310'!$H$86</definedName>
    <definedName name="OSRRefD21_17x_4" localSheetId="71">'310 &amp; 491'!$H$98:$H$99</definedName>
    <definedName name="OSRRefD21_17x_4" localSheetId="57">'315'!$H$102</definedName>
    <definedName name="OSRRefD21_17x_4" localSheetId="58">'326'!$H$84</definedName>
    <definedName name="OSRRefD21_17x_4" localSheetId="56">'331'!$H$99:$H$100</definedName>
    <definedName name="OSRRefD21_17x_4" localSheetId="79">'415'!$H$87</definedName>
    <definedName name="OSRRefD21_17x_4" localSheetId="72">'491'!$H$95:$H$96</definedName>
    <definedName name="OSRRefD21_17x_4" localSheetId="85">'492'!$H$91:$H$92</definedName>
    <definedName name="OSRRefD21_17x_4" localSheetId="39">'Div 2'!$H$84:$H$85</definedName>
    <definedName name="OSRRefD21_17x_4" localSheetId="47">'Div 3'!$H$112:$H$115</definedName>
    <definedName name="OSRRefD21_17x_4" localSheetId="70">'Div 4'!$H$89</definedName>
    <definedName name="OSRRefD21_17x_4" localSheetId="2">Summary!$H$121</definedName>
    <definedName name="OSRRefD21_17x_5" localSheetId="48">'300'!$I$111:$I$114</definedName>
    <definedName name="OSRRefD21_17x_5" localSheetId="49">'300 &amp; 317'!$I$117:$I$120</definedName>
    <definedName name="OSRRefD21_17x_5" localSheetId="50">'301'!$I$78</definedName>
    <definedName name="OSRRefD21_17x_5" localSheetId="63">'310'!$I$86</definedName>
    <definedName name="OSRRefD21_17x_5" localSheetId="71">'310 &amp; 491'!$I$98:$I$99</definedName>
    <definedName name="OSRRefD21_17x_5" localSheetId="57">'315'!$I$102</definedName>
    <definedName name="OSRRefD21_17x_5" localSheetId="58">'326'!$I$84</definedName>
    <definedName name="OSRRefD21_17x_5" localSheetId="56">'331'!$I$99:$I$100</definedName>
    <definedName name="OSRRefD21_17x_5" localSheetId="79">'415'!$I$87</definedName>
    <definedName name="OSRRefD21_17x_5" localSheetId="72">'491'!$I$95:$I$96</definedName>
    <definedName name="OSRRefD21_17x_5" localSheetId="85">'492'!$I$91:$I$92</definedName>
    <definedName name="OSRRefD21_17x_5" localSheetId="39">'Div 2'!$I$84:$I$85</definedName>
    <definedName name="OSRRefD21_17x_5" localSheetId="47">'Div 3'!$I$112:$I$115</definedName>
    <definedName name="OSRRefD21_17x_5" localSheetId="70">'Div 4'!$I$89</definedName>
    <definedName name="OSRRefD21_17x_5" localSheetId="2">Summary!$I$121</definedName>
    <definedName name="OSRRefD21_18_0x" localSheetId="48">'300'!$D$116:$I$116</definedName>
    <definedName name="OSRRefD21_18_0x" localSheetId="49">'300 &amp; 317'!$D$122:$I$122</definedName>
    <definedName name="OSRRefD21_18_0x" localSheetId="50">'301'!$D$80:$I$80</definedName>
    <definedName name="OSRRefD21_18_0x" localSheetId="71">'310 &amp; 491'!$D$101:$I$101</definedName>
    <definedName name="OSRRefD21_18_0x" localSheetId="56">'331'!$D$102:$I$102</definedName>
    <definedName name="OSRRefD21_18_0x" localSheetId="72">'491'!$D$98:$I$98</definedName>
    <definedName name="OSRRefD21_18_0x" localSheetId="39">'Div 2'!$D$87:$I$87</definedName>
    <definedName name="OSRRefD21_18_0x" localSheetId="47">'Div 3'!$D$117:$I$117</definedName>
    <definedName name="OSRRefD21_18_0x" localSheetId="70">'Div 4'!$D$91:$I$91</definedName>
    <definedName name="OSRRefD21_18_0x" localSheetId="2">Summary!$D$123:$I$123</definedName>
    <definedName name="OSRRefD21_18_1x" localSheetId="48">'300'!$D$117:$I$117</definedName>
    <definedName name="OSRRefD21_18_1x" localSheetId="49">'300 &amp; 317'!$D$123:$I$123</definedName>
    <definedName name="OSRRefD21_18_1x" localSheetId="50">'301'!$D$81:$I$81</definedName>
    <definedName name="OSRRefD21_18_1x" localSheetId="56">'331'!$D$103:$I$103</definedName>
    <definedName name="OSRRefD21_18_1x" localSheetId="47">'Div 3'!$D$118:$I$118</definedName>
    <definedName name="OSRRefD21_18_1x" localSheetId="70">'Div 4'!$D$92:$I$92</definedName>
    <definedName name="OSRRefD21_18_1x" localSheetId="2">Summary!$D$124:$I$124</definedName>
    <definedName name="OSRRefD21_18_2x" localSheetId="48">'300'!$D$118:$I$118</definedName>
    <definedName name="OSRRefD21_18_2x" localSheetId="49">'300 &amp; 317'!$D$124:$I$124</definedName>
    <definedName name="OSRRefD21_18_2x" localSheetId="50">'301'!$D$82:$I$82</definedName>
    <definedName name="OSRRefD21_18_2x" localSheetId="56">'331'!$D$104:$I$104</definedName>
    <definedName name="OSRRefD21_18_2x" localSheetId="47">'Div 3'!$D$119:$I$119</definedName>
    <definedName name="OSRRefD21_18_2x" localSheetId="70">'Div 4'!$D$93:$I$93</definedName>
    <definedName name="OSRRefD21_18_2x" localSheetId="2">Summary!$D$125:$I$125</definedName>
    <definedName name="OSRRefD21_18_3x" localSheetId="50">'301'!$D$83:$I$83</definedName>
    <definedName name="OSRRefD21_18_3x" localSheetId="56">'331'!$D$105:$I$105</definedName>
    <definedName name="OSRRefD21_18_3x" localSheetId="47">'Div 3'!$D$120:$I$120</definedName>
    <definedName name="OSRRefD21_18_3x" localSheetId="70">'Div 4'!$D$94:$I$94</definedName>
    <definedName name="OSRRefD21_18_3x" localSheetId="2">Summary!$D$126:$I$126</definedName>
    <definedName name="OSRRefD21_18_4x" localSheetId="50">'301'!$D$84:$I$84</definedName>
    <definedName name="OSRRefD21_18_4x" localSheetId="56">'331'!$D$106:$I$106</definedName>
    <definedName name="OSRRefD21_18_4x" localSheetId="70">'Div 4'!$D$95:$I$95</definedName>
    <definedName name="OSRRefD21_18_5x" localSheetId="50">'301'!$D$85:$I$85</definedName>
    <definedName name="OSRRefD21_18_5x" localSheetId="70">'Div 4'!$D$96:$I$96</definedName>
    <definedName name="OSRRefD21_18_6x" localSheetId="70">'Div 4'!$D$97:$I$97</definedName>
    <definedName name="OSRRefD21_18_7x" localSheetId="70">'Div 4'!$D$98:$I$98</definedName>
    <definedName name="OSRRefD21_18_8x" localSheetId="70">'Div 4'!$D$99:$I$99</definedName>
    <definedName name="OSRRefD21_18_9x" localSheetId="70">'Div 4'!$D$100:$I$100</definedName>
    <definedName name="OSRRefD21_18x_0" localSheetId="48">'300'!$D$116:$D$118</definedName>
    <definedName name="OSRRefD21_18x_0" localSheetId="49">'300 &amp; 317'!$D$122:$D$124</definedName>
    <definedName name="OSRRefD21_18x_0" localSheetId="50">'301'!$D$80:$D$85</definedName>
    <definedName name="OSRRefD21_18x_0" localSheetId="71">'310 &amp; 491'!$D$101</definedName>
    <definedName name="OSRRefD21_18x_0" localSheetId="56">'331'!$D$102:$D$106</definedName>
    <definedName name="OSRRefD21_18x_0" localSheetId="72">'491'!$D$98</definedName>
    <definedName name="OSRRefD21_18x_0" localSheetId="39">'Div 2'!$D$87</definedName>
    <definedName name="OSRRefD21_18x_0" localSheetId="47">'Div 3'!$D$117:$D$120</definedName>
    <definedName name="OSRRefD21_18x_0" localSheetId="70">'Div 4'!$D$91:$D$100</definedName>
    <definedName name="OSRRefD21_18x_0" localSheetId="2">Summary!$D$123:$D$126</definedName>
    <definedName name="OSRRefD21_18x_1" localSheetId="48">'300'!$E$116:$E$118</definedName>
    <definedName name="OSRRefD21_18x_1" localSheetId="49">'300 &amp; 317'!$E$122:$E$124</definedName>
    <definedName name="OSRRefD21_18x_1" localSheetId="50">'301'!$E$80:$E$85</definedName>
    <definedName name="OSRRefD21_18x_1" localSheetId="71">'310 &amp; 491'!$E$101</definedName>
    <definedName name="OSRRefD21_18x_1" localSheetId="56">'331'!$E$102:$E$106</definedName>
    <definedName name="OSRRefD21_18x_1" localSheetId="72">'491'!$E$98</definedName>
    <definedName name="OSRRefD21_18x_1" localSheetId="39">'Div 2'!$E$87</definedName>
    <definedName name="OSRRefD21_18x_1" localSheetId="47">'Div 3'!$E$117:$E$120</definedName>
    <definedName name="OSRRefD21_18x_1" localSheetId="70">'Div 4'!$E$91:$E$100</definedName>
    <definedName name="OSRRefD21_18x_1" localSheetId="2">Summary!$E$123:$E$126</definedName>
    <definedName name="OSRRefD21_18x_2" localSheetId="48">'300'!$F$116:$F$118</definedName>
    <definedName name="OSRRefD21_18x_2" localSheetId="49">'300 &amp; 317'!$F$122:$F$124</definedName>
    <definedName name="OSRRefD21_18x_2" localSheetId="50">'301'!$F$80:$F$85</definedName>
    <definedName name="OSRRefD21_18x_2" localSheetId="71">'310 &amp; 491'!$F$101</definedName>
    <definedName name="OSRRefD21_18x_2" localSheetId="56">'331'!$F$102:$F$106</definedName>
    <definedName name="OSRRefD21_18x_2" localSheetId="72">'491'!$F$98</definedName>
    <definedName name="OSRRefD21_18x_2" localSheetId="39">'Div 2'!$F$87</definedName>
    <definedName name="OSRRefD21_18x_2" localSheetId="47">'Div 3'!$F$117:$F$120</definedName>
    <definedName name="OSRRefD21_18x_2" localSheetId="70">'Div 4'!$F$91:$F$100</definedName>
    <definedName name="OSRRefD21_18x_2" localSheetId="2">Summary!$F$123:$F$126</definedName>
    <definedName name="OSRRefD21_18x_3" localSheetId="48">'300'!$G$116:$G$118</definedName>
    <definedName name="OSRRefD21_18x_3" localSheetId="49">'300 &amp; 317'!$G$122:$G$124</definedName>
    <definedName name="OSRRefD21_18x_3" localSheetId="50">'301'!$G$80:$G$85</definedName>
    <definedName name="OSRRefD21_18x_3" localSheetId="71">'310 &amp; 491'!$G$101</definedName>
    <definedName name="OSRRefD21_18x_3" localSheetId="56">'331'!$G$102:$G$106</definedName>
    <definedName name="OSRRefD21_18x_3" localSheetId="72">'491'!$G$98</definedName>
    <definedName name="OSRRefD21_18x_3" localSheetId="39">'Div 2'!$G$87</definedName>
    <definedName name="OSRRefD21_18x_3" localSheetId="47">'Div 3'!$G$117:$G$120</definedName>
    <definedName name="OSRRefD21_18x_3" localSheetId="70">'Div 4'!$G$91:$G$100</definedName>
    <definedName name="OSRRefD21_18x_3" localSheetId="2">Summary!$G$123:$G$126</definedName>
    <definedName name="OSRRefD21_18x_4" localSheetId="48">'300'!$H$116:$H$118</definedName>
    <definedName name="OSRRefD21_18x_4" localSheetId="49">'300 &amp; 317'!$H$122:$H$124</definedName>
    <definedName name="OSRRefD21_18x_4" localSheetId="50">'301'!$H$80:$H$85</definedName>
    <definedName name="OSRRefD21_18x_4" localSheetId="71">'310 &amp; 491'!$H$101</definedName>
    <definedName name="OSRRefD21_18x_4" localSheetId="56">'331'!$H$102:$H$106</definedName>
    <definedName name="OSRRefD21_18x_4" localSheetId="72">'491'!$H$98</definedName>
    <definedName name="OSRRefD21_18x_4" localSheetId="39">'Div 2'!$H$87</definedName>
    <definedName name="OSRRefD21_18x_4" localSheetId="47">'Div 3'!$H$117:$H$120</definedName>
    <definedName name="OSRRefD21_18x_4" localSheetId="70">'Div 4'!$H$91:$H$100</definedName>
    <definedName name="OSRRefD21_18x_4" localSheetId="2">Summary!$H$123:$H$126</definedName>
    <definedName name="OSRRefD21_18x_5" localSheetId="48">'300'!$I$116:$I$118</definedName>
    <definedName name="OSRRefD21_18x_5" localSheetId="49">'300 &amp; 317'!$I$122:$I$124</definedName>
    <definedName name="OSRRefD21_18x_5" localSheetId="50">'301'!$I$80:$I$85</definedName>
    <definedName name="OSRRefD21_18x_5" localSheetId="71">'310 &amp; 491'!$I$101</definedName>
    <definedName name="OSRRefD21_18x_5" localSheetId="56">'331'!$I$102:$I$106</definedName>
    <definedName name="OSRRefD21_18x_5" localSheetId="72">'491'!$I$98</definedName>
    <definedName name="OSRRefD21_18x_5" localSheetId="39">'Div 2'!$I$87</definedName>
    <definedName name="OSRRefD21_18x_5" localSheetId="47">'Div 3'!$I$117:$I$120</definedName>
    <definedName name="OSRRefD21_18x_5" localSheetId="70">'Div 4'!$I$91:$I$100</definedName>
    <definedName name="OSRRefD21_18x_5" localSheetId="2">Summary!$I$123:$I$126</definedName>
    <definedName name="OSRRefD21_19_0x" localSheetId="48">'300'!$D$120:$I$120</definedName>
    <definedName name="OSRRefD21_19_0x" localSheetId="49">'300 &amp; 317'!$D$126:$I$126</definedName>
    <definedName name="OSRRefD21_19_0x" localSheetId="50">'301'!$D$87:$I$87</definedName>
    <definedName name="OSRRefD21_19_0x" localSheetId="71">'310 &amp; 491'!$D$103:$I$103</definedName>
    <definedName name="OSRRefD21_19_0x" localSheetId="56">'331'!$D$108:$I$108</definedName>
    <definedName name="OSRRefD21_19_0x" localSheetId="72">'491'!$D$100:$I$100</definedName>
    <definedName name="OSRRefD21_19_0x" localSheetId="39">'Div 2'!$D$89:$I$89</definedName>
    <definedName name="OSRRefD21_19_0x" localSheetId="47">'Div 3'!$D$122:$I$122</definedName>
    <definedName name="OSRRefD21_19_0x" localSheetId="70">'Div 4'!$D$102:$I$102</definedName>
    <definedName name="OSRRefD21_19_0x" localSheetId="2">Summary!$D$128:$I$128</definedName>
    <definedName name="OSRRefD21_19_1x" localSheetId="48">'300'!$D$121:$I$121</definedName>
    <definedName name="OSRRefD21_19_1x" localSheetId="49">'300 &amp; 317'!$D$127:$I$127</definedName>
    <definedName name="OSRRefD21_19_1x" localSheetId="39">'Div 2'!$D$90:$I$90</definedName>
    <definedName name="OSRRefD21_19_1x" localSheetId="47">'Div 3'!$D$123:$I$123</definedName>
    <definedName name="OSRRefD21_19_1x" localSheetId="70">'Div 4'!$D$103:$I$103</definedName>
    <definedName name="OSRRefD21_19_1x" localSheetId="2">Summary!$D$129:$I$129</definedName>
    <definedName name="OSRRefD21_19_2x" localSheetId="47">'Div 3'!$D$124:$I$124</definedName>
    <definedName name="OSRRefD21_19_2x" localSheetId="2">Summary!$D$130:$I$130</definedName>
    <definedName name="OSRRefD21_19_3x" localSheetId="47">'Div 3'!$D$125:$I$125</definedName>
    <definedName name="OSRRefD21_19_3x" localSheetId="2">Summary!$D$131:$I$131</definedName>
    <definedName name="OSRRefD21_19x_0" localSheetId="48">'300'!$D$120:$D$121</definedName>
    <definedName name="OSRRefD21_19x_0" localSheetId="49">'300 &amp; 317'!$D$126:$D$127</definedName>
    <definedName name="OSRRefD21_19x_0" localSheetId="50">'301'!$D$87</definedName>
    <definedName name="OSRRefD21_19x_0" localSheetId="71">'310 &amp; 491'!$D$103</definedName>
    <definedName name="OSRRefD21_19x_0" localSheetId="56">'331'!$D$108</definedName>
    <definedName name="OSRRefD21_19x_0" localSheetId="72">'491'!$D$100</definedName>
    <definedName name="OSRRefD21_19x_0" localSheetId="39">'Div 2'!$D$89:$D$90</definedName>
    <definedName name="OSRRefD21_19x_0" localSheetId="47">'Div 3'!$D$122:$D$125</definedName>
    <definedName name="OSRRefD21_19x_0" localSheetId="70">'Div 4'!$D$102:$D$103</definedName>
    <definedName name="OSRRefD21_19x_0" localSheetId="2">Summary!$D$128:$D$131</definedName>
    <definedName name="OSRRefD21_19x_1" localSheetId="48">'300'!$E$120:$E$121</definedName>
    <definedName name="OSRRefD21_19x_1" localSheetId="49">'300 &amp; 317'!$E$126:$E$127</definedName>
    <definedName name="OSRRefD21_19x_1" localSheetId="50">'301'!$E$87</definedName>
    <definedName name="OSRRefD21_19x_1" localSheetId="71">'310 &amp; 491'!$E$103</definedName>
    <definedName name="OSRRefD21_19x_1" localSheetId="56">'331'!$E$108</definedName>
    <definedName name="OSRRefD21_19x_1" localSheetId="72">'491'!$E$100</definedName>
    <definedName name="OSRRefD21_19x_1" localSheetId="39">'Div 2'!$E$89:$E$90</definedName>
    <definedName name="OSRRefD21_19x_1" localSheetId="47">'Div 3'!$E$122:$E$125</definedName>
    <definedName name="OSRRefD21_19x_1" localSheetId="70">'Div 4'!$E$102:$E$103</definedName>
    <definedName name="OSRRefD21_19x_1" localSheetId="2">Summary!$E$128:$E$131</definedName>
    <definedName name="OSRRefD21_19x_2" localSheetId="48">'300'!$F$120:$F$121</definedName>
    <definedName name="OSRRefD21_19x_2" localSheetId="49">'300 &amp; 317'!$F$126:$F$127</definedName>
    <definedName name="OSRRefD21_19x_2" localSheetId="50">'301'!$F$87</definedName>
    <definedName name="OSRRefD21_19x_2" localSheetId="71">'310 &amp; 491'!$F$103</definedName>
    <definedName name="OSRRefD21_19x_2" localSheetId="56">'331'!$F$108</definedName>
    <definedName name="OSRRefD21_19x_2" localSheetId="72">'491'!$F$100</definedName>
    <definedName name="OSRRefD21_19x_2" localSheetId="39">'Div 2'!$F$89:$F$90</definedName>
    <definedName name="OSRRefD21_19x_2" localSheetId="47">'Div 3'!$F$122:$F$125</definedName>
    <definedName name="OSRRefD21_19x_2" localSheetId="70">'Div 4'!$F$102:$F$103</definedName>
    <definedName name="OSRRefD21_19x_2" localSheetId="2">Summary!$F$128:$F$131</definedName>
    <definedName name="OSRRefD21_19x_3" localSheetId="48">'300'!$G$120:$G$121</definedName>
    <definedName name="OSRRefD21_19x_3" localSheetId="49">'300 &amp; 317'!$G$126:$G$127</definedName>
    <definedName name="OSRRefD21_19x_3" localSheetId="50">'301'!$G$87</definedName>
    <definedName name="OSRRefD21_19x_3" localSheetId="71">'310 &amp; 491'!$G$103</definedName>
    <definedName name="OSRRefD21_19x_3" localSheetId="56">'331'!$G$108</definedName>
    <definedName name="OSRRefD21_19x_3" localSheetId="72">'491'!$G$100</definedName>
    <definedName name="OSRRefD21_19x_3" localSheetId="39">'Div 2'!$G$89:$G$90</definedName>
    <definedName name="OSRRefD21_19x_3" localSheetId="47">'Div 3'!$G$122:$G$125</definedName>
    <definedName name="OSRRefD21_19x_3" localSheetId="70">'Div 4'!$G$102:$G$103</definedName>
    <definedName name="OSRRefD21_19x_3" localSheetId="2">Summary!$G$128:$G$131</definedName>
    <definedName name="OSRRefD21_19x_4" localSheetId="48">'300'!$H$120:$H$121</definedName>
    <definedName name="OSRRefD21_19x_4" localSheetId="49">'300 &amp; 317'!$H$126:$H$127</definedName>
    <definedName name="OSRRefD21_19x_4" localSheetId="50">'301'!$H$87</definedName>
    <definedName name="OSRRefD21_19x_4" localSheetId="71">'310 &amp; 491'!$H$103</definedName>
    <definedName name="OSRRefD21_19x_4" localSheetId="56">'331'!$H$108</definedName>
    <definedName name="OSRRefD21_19x_4" localSheetId="72">'491'!$H$100</definedName>
    <definedName name="OSRRefD21_19x_4" localSheetId="39">'Div 2'!$H$89:$H$90</definedName>
    <definedName name="OSRRefD21_19x_4" localSheetId="47">'Div 3'!$H$122:$H$125</definedName>
    <definedName name="OSRRefD21_19x_4" localSheetId="70">'Div 4'!$H$102:$H$103</definedName>
    <definedName name="OSRRefD21_19x_4" localSheetId="2">Summary!$H$128:$H$131</definedName>
    <definedName name="OSRRefD21_19x_5" localSheetId="48">'300'!$I$120:$I$121</definedName>
    <definedName name="OSRRefD21_19x_5" localSheetId="49">'300 &amp; 317'!$I$126:$I$127</definedName>
    <definedName name="OSRRefD21_19x_5" localSheetId="50">'301'!$I$87</definedName>
    <definedName name="OSRRefD21_19x_5" localSheetId="71">'310 &amp; 491'!$I$103</definedName>
    <definedName name="OSRRefD21_19x_5" localSheetId="56">'331'!$I$108</definedName>
    <definedName name="OSRRefD21_19x_5" localSheetId="72">'491'!$I$100</definedName>
    <definedName name="OSRRefD21_19x_5" localSheetId="39">'Div 2'!$I$89:$I$90</definedName>
    <definedName name="OSRRefD21_19x_5" localSheetId="47">'Div 3'!$I$122:$I$125</definedName>
    <definedName name="OSRRefD21_19x_5" localSheetId="70">'Div 4'!$I$102:$I$103</definedName>
    <definedName name="OSRRefD21_19x_5" localSheetId="2">Summary!$I$128:$I$131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2">'307'!$D$42:$D$51</definedName>
    <definedName name="OSRRefD21_1x_0" localSheetId="53">'308'!$D$45:$D$54</definedName>
    <definedName name="OSRRefD21_1x_0" localSheetId="64">'309'!$D$21</definedName>
    <definedName name="OSRRefD21_1x_0" localSheetId="63">'310'!$D$36:$D$45</definedName>
    <definedName name="OSRRefD21_1x_0" localSheetId="71">'310 &amp; 491'!$D$38:$D$47</definedName>
    <definedName name="OSRRefD21_1x_0" localSheetId="54">'311'!$D$45:$D$54</definedName>
    <definedName name="OSRRefD21_1x_0" localSheetId="65">'313'!$D$21</definedName>
    <definedName name="OSRRefD21_1x_0" localSheetId="57">'315'!$D$53:$D$62</definedName>
    <definedName name="OSRRefD21_1x_0" localSheetId="60">'316'!$D$36:$D$45</definedName>
    <definedName name="OSRRefD21_1x_0" localSheetId="62">'317'!$D$45:$D$54</definedName>
    <definedName name="OSRRefD21_1x_0" localSheetId="66">'321'!$D$33:$D$42</definedName>
    <definedName name="OSRRefD21_1x_0" localSheetId="68">'325'!$D$34:$D$43</definedName>
    <definedName name="OSRRefD21_1x_0" localSheetId="58">'326'!$D$37:$D$46</definedName>
    <definedName name="OSRRefD21_1x_0" localSheetId="51">'330'!$D$42:$D$51</definedName>
    <definedName name="OSRRefD21_1x_0" localSheetId="56">'331'!$D$53:$D$62</definedName>
    <definedName name="OSRRefD21_1x_0" localSheetId="59">'332'!$D$36:$D$45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8">'414'!$D$21</definedName>
    <definedName name="OSRRefD21_1x_0" localSheetId="79">'415'!$D$36:$D$45</definedName>
    <definedName name="OSRRefD21_1x_0" localSheetId="80">'418'!$D$33:$D$42</definedName>
    <definedName name="OSRRefD21_1x_0" localSheetId="81">'423'!$D$28:$D$37</definedName>
    <definedName name="OSRRefD21_1x_0" localSheetId="82">'424'!$D$21</definedName>
    <definedName name="OSRRefD21_1x_0" localSheetId="84">'425'!$D$23</definedName>
    <definedName name="OSRRefD21_1x_0" localSheetId="86">'430'!$D$29:$D$38</definedName>
    <definedName name="OSRRefD21_1x_0" localSheetId="87">'433'!$D$37:$D$46</definedName>
    <definedName name="OSRRefD21_1x_0" localSheetId="88">'444'!$D$37:$D$46</definedName>
    <definedName name="OSRRefD21_1x_0" localSheetId="89">'450'!$D$37:$D$46</definedName>
    <definedName name="OSRRefD21_1x_0" localSheetId="72">'491'!$D$37:$D$46</definedName>
    <definedName name="OSRRefD21_1x_0" localSheetId="85">'492'!$D$37:$D$46</definedName>
    <definedName name="OSRRefD21_1x_0" localSheetId="91">'501'!$D$31:$D$40</definedName>
    <definedName name="OSRRefD21_1x_0" localSheetId="39">'Div 2'!$D$31:$D$40</definedName>
    <definedName name="OSRRefD21_1x_0" localSheetId="47">'Div 3'!$D$68:$D$77</definedName>
    <definedName name="OSRRefD21_1x_0" localSheetId="70">'Div 4'!$D$39:$D$48</definedName>
    <definedName name="OSRRefD21_1x_0" localSheetId="90">'Div 5'!$D$31:$D$40</definedName>
    <definedName name="OSRRefD21_1x_0" localSheetId="61">'Div 6'!$D$45:$D$54</definedName>
    <definedName name="OSRRefD21_1x_0" localSheetId="2">Summary!$D$76:$D$85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2">'307'!$E$42:$E$51</definedName>
    <definedName name="OSRRefD21_1x_1" localSheetId="53">'308'!$E$45:$E$54</definedName>
    <definedName name="OSRRefD21_1x_1" localSheetId="64">'309'!$E$21</definedName>
    <definedName name="OSRRefD21_1x_1" localSheetId="63">'310'!$E$36:$E$45</definedName>
    <definedName name="OSRRefD21_1x_1" localSheetId="71">'310 &amp; 491'!$E$38:$E$47</definedName>
    <definedName name="OSRRefD21_1x_1" localSheetId="54">'311'!$E$45:$E$54</definedName>
    <definedName name="OSRRefD21_1x_1" localSheetId="65">'313'!$E$21</definedName>
    <definedName name="OSRRefD21_1x_1" localSheetId="57">'315'!$E$53:$E$62</definedName>
    <definedName name="OSRRefD21_1x_1" localSheetId="60">'316'!$E$36:$E$45</definedName>
    <definedName name="OSRRefD21_1x_1" localSheetId="62">'317'!$E$45:$E$54</definedName>
    <definedName name="OSRRefD21_1x_1" localSheetId="66">'321'!$E$33:$E$42</definedName>
    <definedName name="OSRRefD21_1x_1" localSheetId="68">'325'!$E$34:$E$43</definedName>
    <definedName name="OSRRefD21_1x_1" localSheetId="58">'326'!$E$37:$E$46</definedName>
    <definedName name="OSRRefD21_1x_1" localSheetId="51">'330'!$E$42:$E$51</definedName>
    <definedName name="OSRRefD21_1x_1" localSheetId="56">'331'!$E$53:$E$62</definedName>
    <definedName name="OSRRefD21_1x_1" localSheetId="59">'332'!$E$36:$E$45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8">'414'!$E$21</definedName>
    <definedName name="OSRRefD21_1x_1" localSheetId="79">'415'!$E$36:$E$45</definedName>
    <definedName name="OSRRefD21_1x_1" localSheetId="80">'418'!$E$33:$E$42</definedName>
    <definedName name="OSRRefD21_1x_1" localSheetId="81">'423'!$E$28:$E$37</definedName>
    <definedName name="OSRRefD21_1x_1" localSheetId="82">'424'!$E$21</definedName>
    <definedName name="OSRRefD21_1x_1" localSheetId="84">'425'!$E$23</definedName>
    <definedName name="OSRRefD21_1x_1" localSheetId="86">'430'!$E$29:$E$38</definedName>
    <definedName name="OSRRefD21_1x_1" localSheetId="87">'433'!$E$37:$E$46</definedName>
    <definedName name="OSRRefD21_1x_1" localSheetId="88">'444'!$E$37:$E$46</definedName>
    <definedName name="OSRRefD21_1x_1" localSheetId="89">'450'!$E$37:$E$46</definedName>
    <definedName name="OSRRefD21_1x_1" localSheetId="72">'491'!$E$37:$E$46</definedName>
    <definedName name="OSRRefD21_1x_1" localSheetId="85">'492'!$E$37:$E$46</definedName>
    <definedName name="OSRRefD21_1x_1" localSheetId="91">'501'!$E$31:$E$40</definedName>
    <definedName name="OSRRefD21_1x_1" localSheetId="39">'Div 2'!$E$31:$E$40</definedName>
    <definedName name="OSRRefD21_1x_1" localSheetId="47">'Div 3'!$E$68:$E$77</definedName>
    <definedName name="OSRRefD21_1x_1" localSheetId="70">'Div 4'!$E$39:$E$48</definedName>
    <definedName name="OSRRefD21_1x_1" localSheetId="90">'Div 5'!$E$31:$E$40</definedName>
    <definedName name="OSRRefD21_1x_1" localSheetId="61">'Div 6'!$E$45:$E$54</definedName>
    <definedName name="OSRRefD21_1x_1" localSheetId="2">Summary!$E$76:$E$85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2">'307'!$F$42:$F$51</definedName>
    <definedName name="OSRRefD21_1x_2" localSheetId="53">'308'!$F$45:$F$54</definedName>
    <definedName name="OSRRefD21_1x_2" localSheetId="64">'309'!$F$21</definedName>
    <definedName name="OSRRefD21_1x_2" localSheetId="63">'310'!$F$36:$F$45</definedName>
    <definedName name="OSRRefD21_1x_2" localSheetId="71">'310 &amp; 491'!$F$38:$F$47</definedName>
    <definedName name="OSRRefD21_1x_2" localSheetId="54">'311'!$F$45:$F$54</definedName>
    <definedName name="OSRRefD21_1x_2" localSheetId="65">'313'!$F$21</definedName>
    <definedName name="OSRRefD21_1x_2" localSheetId="57">'315'!$F$53:$F$62</definedName>
    <definedName name="OSRRefD21_1x_2" localSheetId="60">'316'!$F$36:$F$45</definedName>
    <definedName name="OSRRefD21_1x_2" localSheetId="62">'317'!$F$45:$F$54</definedName>
    <definedName name="OSRRefD21_1x_2" localSheetId="66">'321'!$F$33:$F$42</definedName>
    <definedName name="OSRRefD21_1x_2" localSheetId="68">'325'!$F$34:$F$43</definedName>
    <definedName name="OSRRefD21_1x_2" localSheetId="58">'326'!$F$37:$F$46</definedName>
    <definedName name="OSRRefD21_1x_2" localSheetId="51">'330'!$F$42:$F$51</definedName>
    <definedName name="OSRRefD21_1x_2" localSheetId="56">'331'!$F$53:$F$62</definedName>
    <definedName name="OSRRefD21_1x_2" localSheetId="59">'332'!$F$36:$F$45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8">'414'!$F$21</definedName>
    <definedName name="OSRRefD21_1x_2" localSheetId="79">'415'!$F$36:$F$45</definedName>
    <definedName name="OSRRefD21_1x_2" localSheetId="80">'418'!$F$33:$F$42</definedName>
    <definedName name="OSRRefD21_1x_2" localSheetId="81">'423'!$F$28:$F$37</definedName>
    <definedName name="OSRRefD21_1x_2" localSheetId="82">'424'!$F$21</definedName>
    <definedName name="OSRRefD21_1x_2" localSheetId="84">'425'!$F$23</definedName>
    <definedName name="OSRRefD21_1x_2" localSheetId="86">'430'!$F$29:$F$38</definedName>
    <definedName name="OSRRefD21_1x_2" localSheetId="87">'433'!$F$37:$F$46</definedName>
    <definedName name="OSRRefD21_1x_2" localSheetId="88">'444'!$F$37:$F$46</definedName>
    <definedName name="OSRRefD21_1x_2" localSheetId="89">'450'!$F$37:$F$46</definedName>
    <definedName name="OSRRefD21_1x_2" localSheetId="72">'491'!$F$37:$F$46</definedName>
    <definedName name="OSRRefD21_1x_2" localSheetId="85">'492'!$F$37:$F$46</definedName>
    <definedName name="OSRRefD21_1x_2" localSheetId="91">'501'!$F$31:$F$40</definedName>
    <definedName name="OSRRefD21_1x_2" localSheetId="39">'Div 2'!$F$31:$F$40</definedName>
    <definedName name="OSRRefD21_1x_2" localSheetId="47">'Div 3'!$F$68:$F$77</definedName>
    <definedName name="OSRRefD21_1x_2" localSheetId="70">'Div 4'!$F$39:$F$48</definedName>
    <definedName name="OSRRefD21_1x_2" localSheetId="90">'Div 5'!$F$31:$F$40</definedName>
    <definedName name="OSRRefD21_1x_2" localSheetId="61">'Div 6'!$F$45:$F$54</definedName>
    <definedName name="OSRRefD21_1x_2" localSheetId="2">Summary!$F$76:$F$85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'204'!$G$29:$G$38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2">'307'!$G$42:$G$51</definedName>
    <definedName name="OSRRefD21_1x_3" localSheetId="53">'308'!$G$45:$G$54</definedName>
    <definedName name="OSRRefD21_1x_3" localSheetId="64">'309'!$G$21</definedName>
    <definedName name="OSRRefD21_1x_3" localSheetId="63">'310'!$G$36:$G$45</definedName>
    <definedName name="OSRRefD21_1x_3" localSheetId="71">'310 &amp; 491'!$G$38:$G$47</definedName>
    <definedName name="OSRRefD21_1x_3" localSheetId="54">'311'!$G$45:$G$54</definedName>
    <definedName name="OSRRefD21_1x_3" localSheetId="65">'313'!$G$21</definedName>
    <definedName name="OSRRefD21_1x_3" localSheetId="57">'315'!$G$53:$G$62</definedName>
    <definedName name="OSRRefD21_1x_3" localSheetId="60">'316'!$G$36:$G$45</definedName>
    <definedName name="OSRRefD21_1x_3" localSheetId="62">'317'!$G$45:$G$54</definedName>
    <definedName name="OSRRefD21_1x_3" localSheetId="66">'321'!$G$33:$G$42</definedName>
    <definedName name="OSRRefD21_1x_3" localSheetId="68">'325'!$G$34:$G$43</definedName>
    <definedName name="OSRRefD21_1x_3" localSheetId="58">'326'!$G$37:$G$46</definedName>
    <definedName name="OSRRefD21_1x_3" localSheetId="51">'330'!$G$42:$G$51</definedName>
    <definedName name="OSRRefD21_1x_3" localSheetId="56">'331'!$G$53:$G$62</definedName>
    <definedName name="OSRRefD21_1x_3" localSheetId="59">'332'!$G$36:$G$45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8">'414'!$G$21</definedName>
    <definedName name="OSRRefD21_1x_3" localSheetId="79">'415'!$G$36:$G$45</definedName>
    <definedName name="OSRRefD21_1x_3" localSheetId="80">'418'!$G$33:$G$42</definedName>
    <definedName name="OSRRefD21_1x_3" localSheetId="81">'423'!$G$28:$G$37</definedName>
    <definedName name="OSRRefD21_1x_3" localSheetId="82">'424'!$G$21</definedName>
    <definedName name="OSRRefD21_1x_3" localSheetId="84">'425'!$G$23</definedName>
    <definedName name="OSRRefD21_1x_3" localSheetId="86">'430'!$G$29:$G$38</definedName>
    <definedName name="OSRRefD21_1x_3" localSheetId="87">'433'!$G$37:$G$46</definedName>
    <definedName name="OSRRefD21_1x_3" localSheetId="88">'444'!$G$37:$G$46</definedName>
    <definedName name="OSRRefD21_1x_3" localSheetId="89">'450'!$G$37:$G$46</definedName>
    <definedName name="OSRRefD21_1x_3" localSheetId="72">'491'!$G$37:$G$46</definedName>
    <definedName name="OSRRefD21_1x_3" localSheetId="85">'492'!$G$37:$G$46</definedName>
    <definedName name="OSRRefD21_1x_3" localSheetId="91">'501'!$G$31:$G$40</definedName>
    <definedName name="OSRRefD21_1x_3" localSheetId="39">'Div 2'!$G$31:$G$40</definedName>
    <definedName name="OSRRefD21_1x_3" localSheetId="47">'Div 3'!$G$68:$G$77</definedName>
    <definedName name="OSRRefD21_1x_3" localSheetId="70">'Div 4'!$G$39:$G$48</definedName>
    <definedName name="OSRRefD21_1x_3" localSheetId="90">'Div 5'!$G$31:$G$40</definedName>
    <definedName name="OSRRefD21_1x_3" localSheetId="61">'Div 6'!$G$45:$G$54</definedName>
    <definedName name="OSRRefD21_1x_3" localSheetId="2">Summary!$G$76:$G$85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'204'!$H$29:$H$38</definedName>
    <definedName name="OSRRefD21_1x_4" localSheetId="45">'205'!$H$29:$H$38</definedName>
    <definedName name="OSRRefD21_1x_4" localSheetId="46">'206'!$H$29:$H$38</definedName>
    <definedName name="OSRRefD21_1x_4" localSheetId="48">'300'!$H$64:$H$73</definedName>
    <definedName name="OSRRefD21_1x_4" localSheetId="49">'300 &amp; 317'!$H$70:$H$79</definedName>
    <definedName name="OSRRefD21_1x_4" localSheetId="50">'301'!$H$31:$H$40</definedName>
    <definedName name="OSRRefD21_1x_4" localSheetId="52">'307'!$H$42:$H$51</definedName>
    <definedName name="OSRRefD21_1x_4" localSheetId="53">'308'!$H$45:$H$54</definedName>
    <definedName name="OSRRefD21_1x_4" localSheetId="64">'309'!$H$21</definedName>
    <definedName name="OSRRefD21_1x_4" localSheetId="63">'310'!$H$36:$H$45</definedName>
    <definedName name="OSRRefD21_1x_4" localSheetId="71">'310 &amp; 491'!$H$38:$H$47</definedName>
    <definedName name="OSRRefD21_1x_4" localSheetId="54">'311'!$H$45:$H$54</definedName>
    <definedName name="OSRRefD21_1x_4" localSheetId="65">'313'!$H$21</definedName>
    <definedName name="OSRRefD21_1x_4" localSheetId="57">'315'!$H$53:$H$62</definedName>
    <definedName name="OSRRefD21_1x_4" localSheetId="60">'316'!$H$36:$H$45</definedName>
    <definedName name="OSRRefD21_1x_4" localSheetId="62">'317'!$H$45:$H$54</definedName>
    <definedName name="OSRRefD21_1x_4" localSheetId="66">'321'!$H$33:$H$42</definedName>
    <definedName name="OSRRefD21_1x_4" localSheetId="68">'325'!$H$34:$H$43</definedName>
    <definedName name="OSRRefD21_1x_4" localSheetId="58">'326'!$H$37:$H$46</definedName>
    <definedName name="OSRRefD21_1x_4" localSheetId="51">'330'!$H$42:$H$51</definedName>
    <definedName name="OSRRefD21_1x_4" localSheetId="56">'331'!$H$53:$H$62</definedName>
    <definedName name="OSRRefD21_1x_4" localSheetId="59">'332'!$H$36:$H$45</definedName>
    <definedName name="OSRRefD21_1x_4" localSheetId="73">'405'!$H$36:$H$45</definedName>
    <definedName name="OSRRefD21_1x_4" localSheetId="75">'411'!$H$29:$H$38</definedName>
    <definedName name="OSRRefD21_1x_4" localSheetId="76">'412'!$H$21</definedName>
    <definedName name="OSRRefD21_1x_4" localSheetId="77">'413'!$H$21</definedName>
    <definedName name="OSRRefD21_1x_4" localSheetId="78">'414'!$H$21</definedName>
    <definedName name="OSRRefD21_1x_4" localSheetId="79">'415'!$H$36:$H$45</definedName>
    <definedName name="OSRRefD21_1x_4" localSheetId="80">'418'!$H$33:$H$42</definedName>
    <definedName name="OSRRefD21_1x_4" localSheetId="81">'423'!$H$28:$H$37</definedName>
    <definedName name="OSRRefD21_1x_4" localSheetId="82">'424'!$H$21</definedName>
    <definedName name="OSRRefD21_1x_4" localSheetId="84">'425'!$H$23</definedName>
    <definedName name="OSRRefD21_1x_4" localSheetId="86">'430'!$H$29:$H$38</definedName>
    <definedName name="OSRRefD21_1x_4" localSheetId="87">'433'!$H$37:$H$46</definedName>
    <definedName name="OSRRefD21_1x_4" localSheetId="88">'444'!$H$37:$H$46</definedName>
    <definedName name="OSRRefD21_1x_4" localSheetId="89">'450'!$H$37:$H$46</definedName>
    <definedName name="OSRRefD21_1x_4" localSheetId="72">'491'!$H$37:$H$46</definedName>
    <definedName name="OSRRefD21_1x_4" localSheetId="85">'492'!$H$37:$H$46</definedName>
    <definedName name="OSRRefD21_1x_4" localSheetId="91">'501'!$H$31:$H$40</definedName>
    <definedName name="OSRRefD21_1x_4" localSheetId="39">'Div 2'!$H$31:$H$40</definedName>
    <definedName name="OSRRefD21_1x_4" localSheetId="47">'Div 3'!$H$68:$H$77</definedName>
    <definedName name="OSRRefD21_1x_4" localSheetId="70">'Div 4'!$H$39:$H$48</definedName>
    <definedName name="OSRRefD21_1x_4" localSheetId="90">'Div 5'!$H$31:$H$40</definedName>
    <definedName name="OSRRefD21_1x_4" localSheetId="61">'Div 6'!$H$45:$H$54</definedName>
    <definedName name="OSRRefD21_1x_4" localSheetId="2">Summary!$H$76:$H$85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'204'!$I$29:$I$38</definedName>
    <definedName name="OSRRefD21_1x_5" localSheetId="45">'205'!$I$29:$I$38</definedName>
    <definedName name="OSRRefD21_1x_5" localSheetId="46">'206'!$I$29:$I$38</definedName>
    <definedName name="OSRRefD21_1x_5" localSheetId="48">'300'!$I$64:$I$73</definedName>
    <definedName name="OSRRefD21_1x_5" localSheetId="49">'300 &amp; 317'!$I$70:$I$79</definedName>
    <definedName name="OSRRefD21_1x_5" localSheetId="50">'301'!$I$31:$I$40</definedName>
    <definedName name="OSRRefD21_1x_5" localSheetId="52">'307'!$I$42:$I$51</definedName>
    <definedName name="OSRRefD21_1x_5" localSheetId="53">'308'!$I$45:$I$54</definedName>
    <definedName name="OSRRefD21_1x_5" localSheetId="64">'309'!$I$21</definedName>
    <definedName name="OSRRefD21_1x_5" localSheetId="63">'310'!$I$36:$I$45</definedName>
    <definedName name="OSRRefD21_1x_5" localSheetId="71">'310 &amp; 491'!$I$38:$I$47</definedName>
    <definedName name="OSRRefD21_1x_5" localSheetId="54">'311'!$I$45:$I$54</definedName>
    <definedName name="OSRRefD21_1x_5" localSheetId="65">'313'!$I$21</definedName>
    <definedName name="OSRRefD21_1x_5" localSheetId="57">'315'!$I$53:$I$62</definedName>
    <definedName name="OSRRefD21_1x_5" localSheetId="60">'316'!$I$36:$I$45</definedName>
    <definedName name="OSRRefD21_1x_5" localSheetId="62">'317'!$I$45:$I$54</definedName>
    <definedName name="OSRRefD21_1x_5" localSheetId="66">'321'!$I$33:$I$42</definedName>
    <definedName name="OSRRefD21_1x_5" localSheetId="68">'325'!$I$34:$I$43</definedName>
    <definedName name="OSRRefD21_1x_5" localSheetId="58">'326'!$I$37:$I$46</definedName>
    <definedName name="OSRRefD21_1x_5" localSheetId="51">'330'!$I$42:$I$51</definedName>
    <definedName name="OSRRefD21_1x_5" localSheetId="56">'331'!$I$53:$I$62</definedName>
    <definedName name="OSRRefD21_1x_5" localSheetId="59">'332'!$I$36:$I$45</definedName>
    <definedName name="OSRRefD21_1x_5" localSheetId="73">'405'!$I$36:$I$45</definedName>
    <definedName name="OSRRefD21_1x_5" localSheetId="75">'411'!$I$29:$I$38</definedName>
    <definedName name="OSRRefD21_1x_5" localSheetId="76">'412'!$I$21</definedName>
    <definedName name="OSRRefD21_1x_5" localSheetId="77">'413'!$I$21</definedName>
    <definedName name="OSRRefD21_1x_5" localSheetId="78">'414'!$I$21</definedName>
    <definedName name="OSRRefD21_1x_5" localSheetId="79">'415'!$I$36:$I$45</definedName>
    <definedName name="OSRRefD21_1x_5" localSheetId="80">'418'!$I$33:$I$42</definedName>
    <definedName name="OSRRefD21_1x_5" localSheetId="81">'423'!$I$28:$I$37</definedName>
    <definedName name="OSRRefD21_1x_5" localSheetId="82">'424'!$I$21</definedName>
    <definedName name="OSRRefD21_1x_5" localSheetId="84">'425'!$I$23</definedName>
    <definedName name="OSRRefD21_1x_5" localSheetId="86">'430'!$I$29:$I$38</definedName>
    <definedName name="OSRRefD21_1x_5" localSheetId="87">'433'!$I$37:$I$46</definedName>
    <definedName name="OSRRefD21_1x_5" localSheetId="88">'444'!$I$37:$I$46</definedName>
    <definedName name="OSRRefD21_1x_5" localSheetId="89">'450'!$I$37:$I$46</definedName>
    <definedName name="OSRRefD21_1x_5" localSheetId="72">'491'!$I$37:$I$46</definedName>
    <definedName name="OSRRefD21_1x_5" localSheetId="85">'492'!$I$37:$I$46</definedName>
    <definedName name="OSRRefD21_1x_5" localSheetId="91">'501'!$I$31:$I$40</definedName>
    <definedName name="OSRRefD21_1x_5" localSheetId="39">'Div 2'!$I$31:$I$40</definedName>
    <definedName name="OSRRefD21_1x_5" localSheetId="47">'Div 3'!$I$68:$I$77</definedName>
    <definedName name="OSRRefD21_1x_5" localSheetId="70">'Div 4'!$I$39:$I$48</definedName>
    <definedName name="OSRRefD21_1x_5" localSheetId="90">'Div 5'!$I$31:$I$40</definedName>
    <definedName name="OSRRefD21_1x_5" localSheetId="61">'Div 6'!$I$45:$I$54</definedName>
    <definedName name="OSRRefD21_1x_5" localSheetId="2">Summary!$I$76:$I$85</definedName>
    <definedName name="OSRRefD21_2_0x" localSheetId="40">'200'!$D$23:$I$23</definedName>
    <definedName name="OSRRefD21_2_0x" localSheetId="41">'201'!$D$40:$I$40</definedName>
    <definedName name="OSRRefD21_2_0x" localSheetId="42">'202'!$D$40:$I$40</definedName>
    <definedName name="OSRRefD21_2_0x" localSheetId="43">'203'!$D$41:$I$41</definedName>
    <definedName name="OSRRefD21_2_0x" localSheetId="44">'204'!$D$40:$I$40</definedName>
    <definedName name="OSRRefD21_2_0x" localSheetId="45">'205'!$D$40:$I$40</definedName>
    <definedName name="OSRRefD21_2_0x" localSheetId="46">'206'!$D$40:$I$40</definedName>
    <definedName name="OSRRefD21_2_0x" localSheetId="48">'300'!$D$75:$I$75</definedName>
    <definedName name="OSRRefD21_2_0x" localSheetId="49">'300 &amp; 317'!$D$81:$I$81</definedName>
    <definedName name="OSRRefD21_2_0x" localSheetId="50">'301'!$D$42:$I$42</definedName>
    <definedName name="OSRRefD21_2_0x" localSheetId="52">'307'!$D$53:$I$53</definedName>
    <definedName name="OSRRefD21_2_0x" localSheetId="53">'308'!$D$56:$I$56</definedName>
    <definedName name="OSRRefD21_2_0x" localSheetId="64">'309'!$D$23:$I$23</definedName>
    <definedName name="OSRRefD21_2_0x" localSheetId="63">'310'!$D$47:$I$47</definedName>
    <definedName name="OSRRefD21_2_0x" localSheetId="71">'310 &amp; 491'!$D$49:$I$49</definedName>
    <definedName name="OSRRefD21_2_0x" localSheetId="54">'311'!$D$56:$I$56</definedName>
    <definedName name="OSRRefD21_2_0x" localSheetId="65">'313'!$D$23:$I$23</definedName>
    <definedName name="OSRRefD21_2_0x" localSheetId="57">'315'!$D$64:$I$64</definedName>
    <definedName name="OSRRefD21_2_0x" localSheetId="60">'316'!$D$47:$I$47</definedName>
    <definedName name="OSRRefD21_2_0x" localSheetId="62">'317'!$D$56:$I$56</definedName>
    <definedName name="OSRRefD21_2_0x" localSheetId="66">'321'!$D$44:$I$44</definedName>
    <definedName name="OSRRefD21_2_0x" localSheetId="68">'325'!$D$45:$I$45</definedName>
    <definedName name="OSRRefD21_2_0x" localSheetId="58">'326'!$D$48:$I$48</definedName>
    <definedName name="OSRRefD21_2_0x" localSheetId="51">'330'!$D$53:$I$53</definedName>
    <definedName name="OSRRefD21_2_0x" localSheetId="56">'331'!$D$64:$I$64</definedName>
    <definedName name="OSRRefD21_2_0x" localSheetId="59">'332'!$D$47:$I$47</definedName>
    <definedName name="OSRRefD21_2_0x" localSheetId="73">'405'!$D$47:$I$47</definedName>
    <definedName name="OSRRefD21_2_0x" localSheetId="75">'411'!$D$40:$I$40</definedName>
    <definedName name="OSRRefD21_2_0x" localSheetId="76">'412'!$D$23:$I$23</definedName>
    <definedName name="OSRRefD21_2_0x" localSheetId="79">'415'!$D$47:$I$47</definedName>
    <definedName name="OSRRefD21_2_0x" localSheetId="80">'418'!$D$44:$I$44</definedName>
    <definedName name="OSRRefD21_2_0x" localSheetId="81">'423'!$D$39:$I$39</definedName>
    <definedName name="OSRRefD21_2_0x" localSheetId="84">'425'!$D$25:$I$25</definedName>
    <definedName name="OSRRefD21_2_0x" localSheetId="86">'430'!$D$40:$I$40</definedName>
    <definedName name="OSRRefD21_2_0x" localSheetId="87">'433'!$D$48:$I$48</definedName>
    <definedName name="OSRRefD21_2_0x" localSheetId="88">'444'!$D$48:$I$48</definedName>
    <definedName name="OSRRefD21_2_0x" localSheetId="89">'450'!$D$48:$I$48</definedName>
    <definedName name="OSRRefD21_2_0x" localSheetId="72">'491'!$D$48:$I$48</definedName>
    <definedName name="OSRRefD21_2_0x" localSheetId="85">'492'!$D$48:$I$48</definedName>
    <definedName name="OSRRefD21_2_0x" localSheetId="91">'501'!$D$42:$I$42</definedName>
    <definedName name="OSRRefD21_2_0x" localSheetId="39">'Div 2'!$D$42:$I$42</definedName>
    <definedName name="OSRRefD21_2_0x" localSheetId="47">'Div 3'!$D$79:$I$79</definedName>
    <definedName name="OSRRefD21_2_0x" localSheetId="70">'Div 4'!$D$50:$I$50</definedName>
    <definedName name="OSRRefD21_2_0x" localSheetId="90">'Div 5'!$D$42:$I$42</definedName>
    <definedName name="OSRRefD21_2_0x" localSheetId="61">'Div 6'!$D$56:$I$56</definedName>
    <definedName name="OSRRefD21_2_0x" localSheetId="2">Summary!$D$87:$I$87</definedName>
    <definedName name="OSRRefD21_2_1x" localSheetId="44">'204'!$D$41:$I$41</definedName>
    <definedName name="OSRRefD21_20_0x" localSheetId="48">'300'!$D$123:$I$123</definedName>
    <definedName name="OSRRefD21_20_0x" localSheetId="49">'300 &amp; 317'!$D$129:$I$129</definedName>
    <definedName name="OSRRefD21_20_0x" localSheetId="50">'301'!$D$89:$I$89</definedName>
    <definedName name="OSRRefD21_20_0x" localSheetId="71">'310 &amp; 491'!$D$105:$I$105</definedName>
    <definedName name="OSRRefD21_20_0x" localSheetId="56">'331'!$D$110:$I$110</definedName>
    <definedName name="OSRRefD21_20_0x" localSheetId="72">'491'!$D$102:$I$102</definedName>
    <definedName name="OSRRefD21_20_0x" localSheetId="47">'Div 3'!$D$127:$I$127</definedName>
    <definedName name="OSRRefD21_20_0x" localSheetId="70">'Div 4'!$D$105:$I$105</definedName>
    <definedName name="OSRRefD21_20_0x" localSheetId="2">Summary!$D$133:$I$133</definedName>
    <definedName name="OSRRefD21_20_1x" localSheetId="48">'300'!$D$124:$I$124</definedName>
    <definedName name="OSRRefD21_20_1x" localSheetId="49">'300 &amp; 317'!$D$130:$I$130</definedName>
    <definedName name="OSRRefD21_20_1x" localSheetId="56">'331'!$D$111:$I$111</definedName>
    <definedName name="OSRRefD21_20_1x" localSheetId="47">'Div 3'!$D$128:$I$128</definedName>
    <definedName name="OSRRefD21_20_1x" localSheetId="2">Summary!$D$134:$I$134</definedName>
    <definedName name="OSRRefD21_20_2x" localSheetId="48">'300'!$D$125:$I$125</definedName>
    <definedName name="OSRRefD21_20_2x" localSheetId="49">'300 &amp; 317'!$D$131:$I$131</definedName>
    <definedName name="OSRRefD21_20_2x" localSheetId="2">Summary!$D$135:$I$135</definedName>
    <definedName name="OSRRefD21_20_3x" localSheetId="48">'300'!$D$126:$I$126</definedName>
    <definedName name="OSRRefD21_20_3x" localSheetId="49">'300 &amp; 317'!$D$132:$I$132</definedName>
    <definedName name="OSRRefD21_20_3x" localSheetId="2">Summary!$D$136:$I$136</definedName>
    <definedName name="OSRRefD21_20_4x" localSheetId="48">'300'!$D$127:$I$127</definedName>
    <definedName name="OSRRefD21_20_4x" localSheetId="49">'300 &amp; 317'!$D$133:$I$133</definedName>
    <definedName name="OSRRefD21_20_4x" localSheetId="2">Summary!$D$137:$I$137</definedName>
    <definedName name="OSRRefD21_20_5x" localSheetId="48">'300'!$D$128:$I$128</definedName>
    <definedName name="OSRRefD21_20_5x" localSheetId="49">'300 &amp; 317'!$D$134:$I$134</definedName>
    <definedName name="OSRRefD21_20_6x" localSheetId="48">'300'!$D$129:$I$129</definedName>
    <definedName name="OSRRefD21_20_6x" localSheetId="49">'300 &amp; 317'!$D$135:$I$135</definedName>
    <definedName name="OSRRefD21_20x_0" localSheetId="48">'300'!$D$123:$D$129</definedName>
    <definedName name="OSRRefD21_20x_0" localSheetId="49">'300 &amp; 317'!$D$129:$D$135</definedName>
    <definedName name="OSRRefD21_20x_0" localSheetId="50">'301'!$D$89</definedName>
    <definedName name="OSRRefD21_20x_0" localSheetId="71">'310 &amp; 491'!$D$105</definedName>
    <definedName name="OSRRefD21_20x_0" localSheetId="56">'331'!$D$110:$D$111</definedName>
    <definedName name="OSRRefD21_20x_0" localSheetId="72">'491'!$D$102</definedName>
    <definedName name="OSRRefD21_20x_0" localSheetId="47">'Div 3'!$D$127:$D$128</definedName>
    <definedName name="OSRRefD21_20x_0" localSheetId="70">'Div 4'!$D$105</definedName>
    <definedName name="OSRRefD21_20x_0" localSheetId="2">Summary!$D$133:$D$137</definedName>
    <definedName name="OSRRefD21_20x_1" localSheetId="48">'300'!$E$123:$E$129</definedName>
    <definedName name="OSRRefD21_20x_1" localSheetId="49">'300 &amp; 317'!$E$129:$E$135</definedName>
    <definedName name="OSRRefD21_20x_1" localSheetId="50">'301'!$E$89</definedName>
    <definedName name="OSRRefD21_20x_1" localSheetId="71">'310 &amp; 491'!$E$105</definedName>
    <definedName name="OSRRefD21_20x_1" localSheetId="56">'331'!$E$110:$E$111</definedName>
    <definedName name="OSRRefD21_20x_1" localSheetId="72">'491'!$E$102</definedName>
    <definedName name="OSRRefD21_20x_1" localSheetId="47">'Div 3'!$E$127:$E$128</definedName>
    <definedName name="OSRRefD21_20x_1" localSheetId="70">'Div 4'!$E$105</definedName>
    <definedName name="OSRRefD21_20x_1" localSheetId="2">Summary!$E$133:$E$137</definedName>
    <definedName name="OSRRefD21_20x_2" localSheetId="48">'300'!$F$123:$F$129</definedName>
    <definedName name="OSRRefD21_20x_2" localSheetId="49">'300 &amp; 317'!$F$129:$F$135</definedName>
    <definedName name="OSRRefD21_20x_2" localSheetId="50">'301'!$F$89</definedName>
    <definedName name="OSRRefD21_20x_2" localSheetId="71">'310 &amp; 491'!$F$105</definedName>
    <definedName name="OSRRefD21_20x_2" localSheetId="56">'331'!$F$110:$F$111</definedName>
    <definedName name="OSRRefD21_20x_2" localSheetId="72">'491'!$F$102</definedName>
    <definedName name="OSRRefD21_20x_2" localSheetId="47">'Div 3'!$F$127:$F$128</definedName>
    <definedName name="OSRRefD21_20x_2" localSheetId="70">'Div 4'!$F$105</definedName>
    <definedName name="OSRRefD21_20x_2" localSheetId="2">Summary!$F$133:$F$137</definedName>
    <definedName name="OSRRefD21_20x_3" localSheetId="48">'300'!$G$123:$G$129</definedName>
    <definedName name="OSRRefD21_20x_3" localSheetId="49">'300 &amp; 317'!$G$129:$G$135</definedName>
    <definedName name="OSRRefD21_20x_3" localSheetId="50">'301'!$G$89</definedName>
    <definedName name="OSRRefD21_20x_3" localSheetId="71">'310 &amp; 491'!$G$105</definedName>
    <definedName name="OSRRefD21_20x_3" localSheetId="56">'331'!$G$110:$G$111</definedName>
    <definedName name="OSRRefD21_20x_3" localSheetId="72">'491'!$G$102</definedName>
    <definedName name="OSRRefD21_20x_3" localSheetId="47">'Div 3'!$G$127:$G$128</definedName>
    <definedName name="OSRRefD21_20x_3" localSheetId="70">'Div 4'!$G$105</definedName>
    <definedName name="OSRRefD21_20x_3" localSheetId="2">Summary!$G$133:$G$137</definedName>
    <definedName name="OSRRefD21_20x_4" localSheetId="48">'300'!$H$123:$H$129</definedName>
    <definedName name="OSRRefD21_20x_4" localSheetId="49">'300 &amp; 317'!$H$129:$H$135</definedName>
    <definedName name="OSRRefD21_20x_4" localSheetId="50">'301'!$H$89</definedName>
    <definedName name="OSRRefD21_20x_4" localSheetId="71">'310 &amp; 491'!$H$105</definedName>
    <definedName name="OSRRefD21_20x_4" localSheetId="56">'331'!$H$110:$H$111</definedName>
    <definedName name="OSRRefD21_20x_4" localSheetId="72">'491'!$H$102</definedName>
    <definedName name="OSRRefD21_20x_4" localSheetId="47">'Div 3'!$H$127:$H$128</definedName>
    <definedName name="OSRRefD21_20x_4" localSheetId="70">'Div 4'!$H$105</definedName>
    <definedName name="OSRRefD21_20x_4" localSheetId="2">Summary!$H$133:$H$137</definedName>
    <definedName name="OSRRefD21_20x_5" localSheetId="48">'300'!$I$123:$I$129</definedName>
    <definedName name="OSRRefD21_20x_5" localSheetId="49">'300 &amp; 317'!$I$129:$I$135</definedName>
    <definedName name="OSRRefD21_20x_5" localSheetId="50">'301'!$I$89</definedName>
    <definedName name="OSRRefD21_20x_5" localSheetId="71">'310 &amp; 491'!$I$105</definedName>
    <definedName name="OSRRefD21_20x_5" localSheetId="56">'331'!$I$110:$I$111</definedName>
    <definedName name="OSRRefD21_20x_5" localSheetId="72">'491'!$I$102</definedName>
    <definedName name="OSRRefD21_20x_5" localSheetId="47">'Div 3'!$I$127:$I$128</definedName>
    <definedName name="OSRRefD21_20x_5" localSheetId="70">'Div 4'!$I$105</definedName>
    <definedName name="OSRRefD21_20x_5" localSheetId="2">Summary!$I$133:$I$137</definedName>
    <definedName name="OSRRefD21_21_0x" localSheetId="48">'300'!$D$131:$I$131</definedName>
    <definedName name="OSRRefD21_21_0x" localSheetId="49">'300 &amp; 317'!$D$137:$I$137</definedName>
    <definedName name="OSRRefD21_21_0x" localSheetId="50">'301'!$D$91:$I$91</definedName>
    <definedName name="OSRRefD21_21_0x" localSheetId="56">'331'!$D$113:$I$113</definedName>
    <definedName name="OSRRefD21_21_0x" localSheetId="47">'Div 3'!$D$130:$I$130</definedName>
    <definedName name="OSRRefD21_21_0x" localSheetId="70">'Div 4'!$D$107:$I$107</definedName>
    <definedName name="OSRRefD21_21_0x" localSheetId="2">Summary!$D$139:$I$139</definedName>
    <definedName name="OSRRefD21_21_1x" localSheetId="48">'300'!$D$132:$I$132</definedName>
    <definedName name="OSRRefD21_21_1x" localSheetId="49">'300 &amp; 317'!$D$138:$I$138</definedName>
    <definedName name="OSRRefD21_21_1x" localSheetId="50">'301'!$D$92:$I$92</definedName>
    <definedName name="OSRRefD21_21_1x" localSheetId="47">'Div 3'!$D$131:$I$131</definedName>
    <definedName name="OSRRefD21_21_1x" localSheetId="70">'Div 4'!$D$108:$I$108</definedName>
    <definedName name="OSRRefD21_21_1x" localSheetId="2">Summary!$D$140:$I$140</definedName>
    <definedName name="OSRRefD21_21_2x" localSheetId="47">'Div 3'!$D$132:$I$132</definedName>
    <definedName name="OSRRefD21_21_3x" localSheetId="47">'Div 3'!$D$133:$I$133</definedName>
    <definedName name="OSRRefD21_21_4x" localSheetId="47">'Div 3'!$D$134:$I$134</definedName>
    <definedName name="OSRRefD21_21_5x" localSheetId="47">'Div 3'!$D$135:$I$135</definedName>
    <definedName name="OSRRefD21_21_6x" localSheetId="47">'Div 3'!$D$136:$I$136</definedName>
    <definedName name="OSRRefD21_21x_0" localSheetId="48">'300'!$D$131:$D$132</definedName>
    <definedName name="OSRRefD21_21x_0" localSheetId="49">'300 &amp; 317'!$D$137:$D$138</definedName>
    <definedName name="OSRRefD21_21x_0" localSheetId="50">'301'!$D$91:$D$92</definedName>
    <definedName name="OSRRefD21_21x_0" localSheetId="56">'331'!$D$113</definedName>
    <definedName name="OSRRefD21_21x_0" localSheetId="47">'Div 3'!$D$130:$D$136</definedName>
    <definedName name="OSRRefD21_21x_0" localSheetId="70">'Div 4'!$D$107:$D$108</definedName>
    <definedName name="OSRRefD21_21x_0" localSheetId="2">Summary!$D$139:$D$140</definedName>
    <definedName name="OSRRefD21_21x_1" localSheetId="48">'300'!$E$131:$E$132</definedName>
    <definedName name="OSRRefD21_21x_1" localSheetId="49">'300 &amp; 317'!$E$137:$E$138</definedName>
    <definedName name="OSRRefD21_21x_1" localSheetId="50">'301'!$E$91:$E$92</definedName>
    <definedName name="OSRRefD21_21x_1" localSheetId="56">'331'!$E$113</definedName>
    <definedName name="OSRRefD21_21x_1" localSheetId="47">'Div 3'!$E$130:$E$136</definedName>
    <definedName name="OSRRefD21_21x_1" localSheetId="70">'Div 4'!$E$107:$E$108</definedName>
    <definedName name="OSRRefD21_21x_1" localSheetId="2">Summary!$E$139:$E$140</definedName>
    <definedName name="OSRRefD21_21x_2" localSheetId="48">'300'!$F$131:$F$132</definedName>
    <definedName name="OSRRefD21_21x_2" localSheetId="49">'300 &amp; 317'!$F$137:$F$138</definedName>
    <definedName name="OSRRefD21_21x_2" localSheetId="50">'301'!$F$91:$F$92</definedName>
    <definedName name="OSRRefD21_21x_2" localSheetId="56">'331'!$F$113</definedName>
    <definedName name="OSRRefD21_21x_2" localSheetId="47">'Div 3'!$F$130:$F$136</definedName>
    <definedName name="OSRRefD21_21x_2" localSheetId="70">'Div 4'!$F$107:$F$108</definedName>
    <definedName name="OSRRefD21_21x_2" localSheetId="2">Summary!$F$139:$F$140</definedName>
    <definedName name="OSRRefD21_21x_3" localSheetId="48">'300'!$G$131:$G$132</definedName>
    <definedName name="OSRRefD21_21x_3" localSheetId="49">'300 &amp; 317'!$G$137:$G$138</definedName>
    <definedName name="OSRRefD21_21x_3" localSheetId="50">'301'!$G$91:$G$92</definedName>
    <definedName name="OSRRefD21_21x_3" localSheetId="56">'331'!$G$113</definedName>
    <definedName name="OSRRefD21_21x_3" localSheetId="47">'Div 3'!$G$130:$G$136</definedName>
    <definedName name="OSRRefD21_21x_3" localSheetId="70">'Div 4'!$G$107:$G$108</definedName>
    <definedName name="OSRRefD21_21x_3" localSheetId="2">Summary!$G$139:$G$140</definedName>
    <definedName name="OSRRefD21_21x_4" localSheetId="48">'300'!$H$131:$H$132</definedName>
    <definedName name="OSRRefD21_21x_4" localSheetId="49">'300 &amp; 317'!$H$137:$H$138</definedName>
    <definedName name="OSRRefD21_21x_4" localSheetId="50">'301'!$H$91:$H$92</definedName>
    <definedName name="OSRRefD21_21x_4" localSheetId="56">'331'!$H$113</definedName>
    <definedName name="OSRRefD21_21x_4" localSheetId="47">'Div 3'!$H$130:$H$136</definedName>
    <definedName name="OSRRefD21_21x_4" localSheetId="70">'Div 4'!$H$107:$H$108</definedName>
    <definedName name="OSRRefD21_21x_4" localSheetId="2">Summary!$H$139:$H$140</definedName>
    <definedName name="OSRRefD21_21x_5" localSheetId="48">'300'!$I$131:$I$132</definedName>
    <definedName name="OSRRefD21_21x_5" localSheetId="49">'300 &amp; 317'!$I$137:$I$138</definedName>
    <definedName name="OSRRefD21_21x_5" localSheetId="50">'301'!$I$91:$I$92</definedName>
    <definedName name="OSRRefD21_21x_5" localSheetId="56">'331'!$I$113</definedName>
    <definedName name="OSRRefD21_21x_5" localSheetId="47">'Div 3'!$I$130:$I$136</definedName>
    <definedName name="OSRRefD21_21x_5" localSheetId="70">'Div 4'!$I$107:$I$108</definedName>
    <definedName name="OSRRefD21_21x_5" localSheetId="2">Summary!$I$139:$I$140</definedName>
    <definedName name="OSRRefD21_22_0x" localSheetId="48">'300'!$D$134:$I$134</definedName>
    <definedName name="OSRRefD21_22_0x" localSheetId="49">'300 &amp; 317'!$D$140:$I$140</definedName>
    <definedName name="OSRRefD21_22_0x" localSheetId="50">'301'!$D$94:$I$94</definedName>
    <definedName name="OSRRefD21_22_0x" localSheetId="47">'Div 3'!$D$138:$I$138</definedName>
    <definedName name="OSRRefD21_22_0x" localSheetId="70">'Div 4'!$D$110:$I$110</definedName>
    <definedName name="OSRRefD21_22_0x" localSheetId="2">Summary!$D$142:$I$142</definedName>
    <definedName name="OSRRefD21_22_1x" localSheetId="47">'Div 3'!$D$139:$I$139</definedName>
    <definedName name="OSRRefD21_22_1x" localSheetId="2">Summary!$D$143:$I$143</definedName>
    <definedName name="OSRRefD21_22_2x" localSheetId="2">Summary!$D$144:$I$144</definedName>
    <definedName name="OSRRefD21_22_3x" localSheetId="2">Summary!$D$145:$I$145</definedName>
    <definedName name="OSRRefD21_22_4x" localSheetId="2">Summary!$D$146:$I$146</definedName>
    <definedName name="OSRRefD21_22_5x" localSheetId="2">Summary!$D$147:$I$147</definedName>
    <definedName name="OSRRefD21_22_6x" localSheetId="2">Summary!$D$148:$I$148</definedName>
    <definedName name="OSRRefD21_22_7x" localSheetId="2">Summary!$D$149:$I$149</definedName>
    <definedName name="OSRRefD21_22_8x" localSheetId="2">Summary!$D$150:$I$150</definedName>
    <definedName name="OSRRefD21_22_9x" localSheetId="2">Summary!$D$151:$I$151</definedName>
    <definedName name="OSRRefD21_22x_0" localSheetId="48">'300'!$D$134</definedName>
    <definedName name="OSRRefD21_22x_0" localSheetId="49">'300 &amp; 317'!$D$140</definedName>
    <definedName name="OSRRefD21_22x_0" localSheetId="50">'301'!$D$94</definedName>
    <definedName name="OSRRefD21_22x_0" localSheetId="47">'Div 3'!$D$138:$D$139</definedName>
    <definedName name="OSRRefD21_22x_0" localSheetId="70">'Div 4'!$D$110</definedName>
    <definedName name="OSRRefD21_22x_0" localSheetId="2">Summary!$D$142:$D$151</definedName>
    <definedName name="OSRRefD21_22x_1" localSheetId="48">'300'!$E$134</definedName>
    <definedName name="OSRRefD21_22x_1" localSheetId="49">'300 &amp; 317'!$E$140</definedName>
    <definedName name="OSRRefD21_22x_1" localSheetId="50">'301'!$E$94</definedName>
    <definedName name="OSRRefD21_22x_1" localSheetId="47">'Div 3'!$E$138:$E$139</definedName>
    <definedName name="OSRRefD21_22x_1" localSheetId="70">'Div 4'!$E$110</definedName>
    <definedName name="OSRRefD21_22x_1" localSheetId="2">Summary!$E$142:$E$151</definedName>
    <definedName name="OSRRefD21_22x_2" localSheetId="48">'300'!$F$134</definedName>
    <definedName name="OSRRefD21_22x_2" localSheetId="49">'300 &amp; 317'!$F$140</definedName>
    <definedName name="OSRRefD21_22x_2" localSheetId="50">'301'!$F$94</definedName>
    <definedName name="OSRRefD21_22x_2" localSheetId="47">'Div 3'!$F$138:$F$139</definedName>
    <definedName name="OSRRefD21_22x_2" localSheetId="70">'Div 4'!$F$110</definedName>
    <definedName name="OSRRefD21_22x_2" localSheetId="2">Summary!$F$142:$F$151</definedName>
    <definedName name="OSRRefD21_22x_3" localSheetId="48">'300'!$G$134</definedName>
    <definedName name="OSRRefD21_22x_3" localSheetId="49">'300 &amp; 317'!$G$140</definedName>
    <definedName name="OSRRefD21_22x_3" localSheetId="50">'301'!$G$94</definedName>
    <definedName name="OSRRefD21_22x_3" localSheetId="47">'Div 3'!$G$138:$G$139</definedName>
    <definedName name="OSRRefD21_22x_3" localSheetId="70">'Div 4'!$G$110</definedName>
    <definedName name="OSRRefD21_22x_3" localSheetId="2">Summary!$G$142:$G$151</definedName>
    <definedName name="OSRRefD21_22x_4" localSheetId="48">'300'!$H$134</definedName>
    <definedName name="OSRRefD21_22x_4" localSheetId="49">'300 &amp; 317'!$H$140</definedName>
    <definedName name="OSRRefD21_22x_4" localSheetId="50">'301'!$H$94</definedName>
    <definedName name="OSRRefD21_22x_4" localSheetId="47">'Div 3'!$H$138:$H$139</definedName>
    <definedName name="OSRRefD21_22x_4" localSheetId="70">'Div 4'!$H$110</definedName>
    <definedName name="OSRRefD21_22x_4" localSheetId="2">Summary!$H$142:$H$151</definedName>
    <definedName name="OSRRefD21_22x_5" localSheetId="48">'300'!$I$134</definedName>
    <definedName name="OSRRefD21_22x_5" localSheetId="49">'300 &amp; 317'!$I$140</definedName>
    <definedName name="OSRRefD21_22x_5" localSheetId="50">'301'!$I$94</definedName>
    <definedName name="OSRRefD21_22x_5" localSheetId="47">'Div 3'!$I$138:$I$139</definedName>
    <definedName name="OSRRefD21_22x_5" localSheetId="70">'Div 4'!$I$110</definedName>
    <definedName name="OSRRefD21_22x_5" localSheetId="2">Summary!$I$142:$I$151</definedName>
    <definedName name="OSRRefD21_23_0x" localSheetId="48">'300'!$D$136:$I$136</definedName>
    <definedName name="OSRRefD21_23_0x" localSheetId="49">'300 &amp; 317'!$D$142:$I$142</definedName>
    <definedName name="OSRRefD21_23_0x" localSheetId="47">'Div 3'!$D$141:$I$141</definedName>
    <definedName name="OSRRefD21_23_0x" localSheetId="2">Summary!$D$153:$I$153</definedName>
    <definedName name="OSRRefD21_23_1x" localSheetId="48">'300'!$D$137:$I$137</definedName>
    <definedName name="OSRRefD21_23_1x" localSheetId="49">'300 &amp; 317'!$D$143:$I$143</definedName>
    <definedName name="OSRRefD21_23_1x" localSheetId="2">Summary!$D$154:$I$154</definedName>
    <definedName name="OSRRefD21_23_2x" localSheetId="48">'300'!$D$138:$I$138</definedName>
    <definedName name="OSRRefD21_23_2x" localSheetId="49">'300 &amp; 317'!$D$144:$I$144</definedName>
    <definedName name="OSRRefD21_23x_0" localSheetId="48">'300'!$D$136:$D$138</definedName>
    <definedName name="OSRRefD21_23x_0" localSheetId="49">'300 &amp; 317'!$D$142:$D$144</definedName>
    <definedName name="OSRRefD21_23x_0" localSheetId="47">'Div 3'!$D$141</definedName>
    <definedName name="OSRRefD21_23x_0" localSheetId="2">Summary!$D$153:$D$154</definedName>
    <definedName name="OSRRefD21_23x_1" localSheetId="48">'300'!$E$136:$E$138</definedName>
    <definedName name="OSRRefD21_23x_1" localSheetId="49">'300 &amp; 317'!$E$142:$E$144</definedName>
    <definedName name="OSRRefD21_23x_1" localSheetId="47">'Div 3'!$E$141</definedName>
    <definedName name="OSRRefD21_23x_1" localSheetId="2">Summary!$E$153:$E$154</definedName>
    <definedName name="OSRRefD21_23x_2" localSheetId="48">'300'!$F$136:$F$138</definedName>
    <definedName name="OSRRefD21_23x_2" localSheetId="49">'300 &amp; 317'!$F$142:$F$144</definedName>
    <definedName name="OSRRefD21_23x_2" localSheetId="47">'Div 3'!$F$141</definedName>
    <definedName name="OSRRefD21_23x_2" localSheetId="2">Summary!$F$153:$F$154</definedName>
    <definedName name="OSRRefD21_23x_3" localSheetId="48">'300'!$G$136:$G$138</definedName>
    <definedName name="OSRRefD21_23x_3" localSheetId="49">'300 &amp; 317'!$G$142:$G$144</definedName>
    <definedName name="OSRRefD21_23x_3" localSheetId="47">'Div 3'!$G$141</definedName>
    <definedName name="OSRRefD21_23x_3" localSheetId="2">Summary!$G$153:$G$154</definedName>
    <definedName name="OSRRefD21_23x_4" localSheetId="48">'300'!$H$136:$H$138</definedName>
    <definedName name="OSRRefD21_23x_4" localSheetId="49">'300 &amp; 317'!$H$142:$H$144</definedName>
    <definedName name="OSRRefD21_23x_4" localSheetId="47">'Div 3'!$H$141</definedName>
    <definedName name="OSRRefD21_23x_4" localSheetId="2">Summary!$H$153:$H$154</definedName>
    <definedName name="OSRRefD21_23x_5" localSheetId="48">'300'!$I$136:$I$138</definedName>
    <definedName name="OSRRefD21_23x_5" localSheetId="49">'300 &amp; 317'!$I$142:$I$144</definedName>
    <definedName name="OSRRefD21_23x_5" localSheetId="47">'Div 3'!$I$141</definedName>
    <definedName name="OSRRefD21_23x_5" localSheetId="2">Summary!$I$153:$I$154</definedName>
    <definedName name="OSRRefD21_24_0x" localSheetId="48">'300'!$D$140:$I$140</definedName>
    <definedName name="OSRRefD21_24_0x" localSheetId="49">'300 &amp; 317'!$D$146:$I$146</definedName>
    <definedName name="OSRRefD21_24_0x" localSheetId="47">'Div 3'!$D$143:$I$143</definedName>
    <definedName name="OSRRefD21_24_0x" localSheetId="2">Summary!$D$156:$I$156</definedName>
    <definedName name="OSRRefD21_24_1x" localSheetId="47">'Div 3'!$D$144:$I$144</definedName>
    <definedName name="OSRRefD21_24_2x" localSheetId="47">'Div 3'!$D$145:$I$145</definedName>
    <definedName name="OSRRefD21_24x_0" localSheetId="48">'300'!$D$140</definedName>
    <definedName name="OSRRefD21_24x_0" localSheetId="49">'300 &amp; 317'!$D$146</definedName>
    <definedName name="OSRRefD21_24x_0" localSheetId="47">'Div 3'!$D$143:$D$145</definedName>
    <definedName name="OSRRefD21_24x_0" localSheetId="2">Summary!$D$156</definedName>
    <definedName name="OSRRefD21_24x_1" localSheetId="48">'300'!$E$140</definedName>
    <definedName name="OSRRefD21_24x_1" localSheetId="49">'300 &amp; 317'!$E$146</definedName>
    <definedName name="OSRRefD21_24x_1" localSheetId="47">'Div 3'!$E$143:$E$145</definedName>
    <definedName name="OSRRefD21_24x_1" localSheetId="2">Summary!$E$156</definedName>
    <definedName name="OSRRefD21_24x_2" localSheetId="48">'300'!$F$140</definedName>
    <definedName name="OSRRefD21_24x_2" localSheetId="49">'300 &amp; 317'!$F$146</definedName>
    <definedName name="OSRRefD21_24x_2" localSheetId="47">'Div 3'!$F$143:$F$145</definedName>
    <definedName name="OSRRefD21_24x_2" localSheetId="2">Summary!$F$156</definedName>
    <definedName name="OSRRefD21_24x_3" localSheetId="48">'300'!$G$140</definedName>
    <definedName name="OSRRefD21_24x_3" localSheetId="49">'300 &amp; 317'!$G$146</definedName>
    <definedName name="OSRRefD21_24x_3" localSheetId="47">'Div 3'!$G$143:$G$145</definedName>
    <definedName name="OSRRefD21_24x_3" localSheetId="2">Summary!$G$156</definedName>
    <definedName name="OSRRefD21_24x_4" localSheetId="48">'300'!$H$140</definedName>
    <definedName name="OSRRefD21_24x_4" localSheetId="49">'300 &amp; 317'!$H$146</definedName>
    <definedName name="OSRRefD21_24x_4" localSheetId="47">'Div 3'!$H$143:$H$145</definedName>
    <definedName name="OSRRefD21_24x_4" localSheetId="2">Summary!$H$156</definedName>
    <definedName name="OSRRefD21_24x_5" localSheetId="48">'300'!$I$140</definedName>
    <definedName name="OSRRefD21_24x_5" localSheetId="49">'300 &amp; 317'!$I$146</definedName>
    <definedName name="OSRRefD21_24x_5" localSheetId="47">'Div 3'!$I$143:$I$145</definedName>
    <definedName name="OSRRefD21_24x_5" localSheetId="2">Summary!$I$156</definedName>
    <definedName name="OSRRefD21_25_0x" localSheetId="47">'Div 3'!$D$147:$I$147</definedName>
    <definedName name="OSRRefD21_25_0x" localSheetId="2">Summary!$D$158:$I$158</definedName>
    <definedName name="OSRRefD21_25_1x" localSheetId="2">Summary!$D$159:$I$159</definedName>
    <definedName name="OSRRefD21_25_2x" localSheetId="2">Summary!$D$160:$I$160</definedName>
    <definedName name="OSRRefD21_25x_0" localSheetId="47">'Div 3'!$D$147</definedName>
    <definedName name="OSRRefD21_25x_0" localSheetId="2">Summary!$D$158:$D$160</definedName>
    <definedName name="OSRRefD21_25x_1" localSheetId="47">'Div 3'!$E$147</definedName>
    <definedName name="OSRRefD21_25x_1" localSheetId="2">Summary!$E$158:$E$160</definedName>
    <definedName name="OSRRefD21_25x_2" localSheetId="47">'Div 3'!$F$147</definedName>
    <definedName name="OSRRefD21_25x_2" localSheetId="2">Summary!$F$158:$F$160</definedName>
    <definedName name="OSRRefD21_25x_3" localSheetId="47">'Div 3'!$G$147</definedName>
    <definedName name="OSRRefD21_25x_3" localSheetId="2">Summary!$G$158:$G$160</definedName>
    <definedName name="OSRRefD21_25x_4" localSheetId="47">'Div 3'!$H$147</definedName>
    <definedName name="OSRRefD21_25x_4" localSheetId="2">Summary!$H$158:$H$160</definedName>
    <definedName name="OSRRefD21_25x_5" localSheetId="47">'Div 3'!$I$147</definedName>
    <definedName name="OSRRefD21_25x_5" localSheetId="2">Summary!$I$158:$I$160</definedName>
    <definedName name="OSRRefD21_26_0x" localSheetId="2">Summary!$D$162:$I$162</definedName>
    <definedName name="OSRRefD21_26x_0" localSheetId="2">Summary!$D$162</definedName>
    <definedName name="OSRRefD21_26x_1" localSheetId="2">Summary!$E$162</definedName>
    <definedName name="OSRRefD21_26x_2" localSheetId="2">Summary!$F$162</definedName>
    <definedName name="OSRRefD21_26x_3" localSheetId="2">Summary!$G$162</definedName>
    <definedName name="OSRRefD21_26x_4" localSheetId="2">Summary!$H$162</definedName>
    <definedName name="OSRRefD21_26x_5" localSheetId="2">Summary!$I$162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2">'307'!$D$53</definedName>
    <definedName name="OSRRefD21_2x_0" localSheetId="53">'308'!$D$56</definedName>
    <definedName name="OSRRefD21_2x_0" localSheetId="64">'309'!$D$23</definedName>
    <definedName name="OSRRefD21_2x_0" localSheetId="63">'310'!$D$47</definedName>
    <definedName name="OSRRefD21_2x_0" localSheetId="71">'310 &amp; 491'!$D$49</definedName>
    <definedName name="OSRRefD21_2x_0" localSheetId="54">'311'!$D$56</definedName>
    <definedName name="OSRRefD21_2x_0" localSheetId="65">'313'!$D$23</definedName>
    <definedName name="OSRRefD21_2x_0" localSheetId="57">'315'!$D$64</definedName>
    <definedName name="OSRRefD21_2x_0" localSheetId="60">'316'!$D$47</definedName>
    <definedName name="OSRRefD21_2x_0" localSheetId="62">'317'!$D$56</definedName>
    <definedName name="OSRRefD21_2x_0" localSheetId="66">'321'!$D$44</definedName>
    <definedName name="OSRRefD21_2x_0" localSheetId="68">'325'!$D$45</definedName>
    <definedName name="OSRRefD21_2x_0" localSheetId="58">'326'!$D$48</definedName>
    <definedName name="OSRRefD21_2x_0" localSheetId="51">'330'!$D$53</definedName>
    <definedName name="OSRRefD21_2x_0" localSheetId="56">'331'!$D$64</definedName>
    <definedName name="OSRRefD21_2x_0" localSheetId="59">'332'!$D$47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'415'!$D$47</definedName>
    <definedName name="OSRRefD21_2x_0" localSheetId="80">'418'!$D$44</definedName>
    <definedName name="OSRRefD21_2x_0" localSheetId="81">'423'!$D$39</definedName>
    <definedName name="OSRRefD21_2x_0" localSheetId="84">'425'!$D$25</definedName>
    <definedName name="OSRRefD21_2x_0" localSheetId="86">'430'!$D$40</definedName>
    <definedName name="OSRRefD21_2x_0" localSheetId="87">'433'!$D$48</definedName>
    <definedName name="OSRRefD21_2x_0" localSheetId="88">'444'!$D$48</definedName>
    <definedName name="OSRRefD21_2x_0" localSheetId="89">'450'!$D$48</definedName>
    <definedName name="OSRRefD21_2x_0" localSheetId="72">'491'!$D$48</definedName>
    <definedName name="OSRRefD21_2x_0" localSheetId="85">'492'!$D$48</definedName>
    <definedName name="OSRRefD21_2x_0" localSheetId="91">'501'!$D$42</definedName>
    <definedName name="OSRRefD21_2x_0" localSheetId="39">'Div 2'!$D$42</definedName>
    <definedName name="OSRRefD21_2x_0" localSheetId="47">'Div 3'!$D$79</definedName>
    <definedName name="OSRRefD21_2x_0" localSheetId="70">'Div 4'!$D$50</definedName>
    <definedName name="OSRRefD21_2x_0" localSheetId="90">'Div 5'!$D$42</definedName>
    <definedName name="OSRRefD21_2x_0" localSheetId="61">'Div 6'!$D$56</definedName>
    <definedName name="OSRRefD21_2x_0" localSheetId="2">Summary!$D$87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2">'307'!$E$53</definedName>
    <definedName name="OSRRefD21_2x_1" localSheetId="53">'308'!$E$56</definedName>
    <definedName name="OSRRefD21_2x_1" localSheetId="64">'309'!$E$23</definedName>
    <definedName name="OSRRefD21_2x_1" localSheetId="63">'310'!$E$47</definedName>
    <definedName name="OSRRefD21_2x_1" localSheetId="71">'310 &amp; 491'!$E$49</definedName>
    <definedName name="OSRRefD21_2x_1" localSheetId="54">'311'!$E$56</definedName>
    <definedName name="OSRRefD21_2x_1" localSheetId="65">'313'!$E$23</definedName>
    <definedName name="OSRRefD21_2x_1" localSheetId="57">'315'!$E$64</definedName>
    <definedName name="OSRRefD21_2x_1" localSheetId="60">'316'!$E$47</definedName>
    <definedName name="OSRRefD21_2x_1" localSheetId="62">'317'!$E$56</definedName>
    <definedName name="OSRRefD21_2x_1" localSheetId="66">'321'!$E$44</definedName>
    <definedName name="OSRRefD21_2x_1" localSheetId="68">'325'!$E$45</definedName>
    <definedName name="OSRRefD21_2x_1" localSheetId="58">'326'!$E$48</definedName>
    <definedName name="OSRRefD21_2x_1" localSheetId="51">'330'!$E$53</definedName>
    <definedName name="OSRRefD21_2x_1" localSheetId="56">'331'!$E$64</definedName>
    <definedName name="OSRRefD21_2x_1" localSheetId="59">'332'!$E$47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'415'!$E$47</definedName>
    <definedName name="OSRRefD21_2x_1" localSheetId="80">'418'!$E$44</definedName>
    <definedName name="OSRRefD21_2x_1" localSheetId="81">'423'!$E$39</definedName>
    <definedName name="OSRRefD21_2x_1" localSheetId="84">'425'!$E$25</definedName>
    <definedName name="OSRRefD21_2x_1" localSheetId="86">'430'!$E$40</definedName>
    <definedName name="OSRRefD21_2x_1" localSheetId="87">'433'!$E$48</definedName>
    <definedName name="OSRRefD21_2x_1" localSheetId="88">'444'!$E$48</definedName>
    <definedName name="OSRRefD21_2x_1" localSheetId="89">'450'!$E$48</definedName>
    <definedName name="OSRRefD21_2x_1" localSheetId="72">'491'!$E$48</definedName>
    <definedName name="OSRRefD21_2x_1" localSheetId="85">'492'!$E$48</definedName>
    <definedName name="OSRRefD21_2x_1" localSheetId="91">'501'!$E$42</definedName>
    <definedName name="OSRRefD21_2x_1" localSheetId="39">'Div 2'!$E$42</definedName>
    <definedName name="OSRRefD21_2x_1" localSheetId="47">'Div 3'!$E$79</definedName>
    <definedName name="OSRRefD21_2x_1" localSheetId="70">'Div 4'!$E$50</definedName>
    <definedName name="OSRRefD21_2x_1" localSheetId="90">'Div 5'!$E$42</definedName>
    <definedName name="OSRRefD21_2x_1" localSheetId="61">'Div 6'!$E$56</definedName>
    <definedName name="OSRRefD21_2x_1" localSheetId="2">Summary!$E$87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2">'307'!$F$53</definedName>
    <definedName name="OSRRefD21_2x_2" localSheetId="53">'308'!$F$56</definedName>
    <definedName name="OSRRefD21_2x_2" localSheetId="64">'309'!$F$23</definedName>
    <definedName name="OSRRefD21_2x_2" localSheetId="63">'310'!$F$47</definedName>
    <definedName name="OSRRefD21_2x_2" localSheetId="71">'310 &amp; 491'!$F$49</definedName>
    <definedName name="OSRRefD21_2x_2" localSheetId="54">'311'!$F$56</definedName>
    <definedName name="OSRRefD21_2x_2" localSheetId="65">'313'!$F$23</definedName>
    <definedName name="OSRRefD21_2x_2" localSheetId="57">'315'!$F$64</definedName>
    <definedName name="OSRRefD21_2x_2" localSheetId="60">'316'!$F$47</definedName>
    <definedName name="OSRRefD21_2x_2" localSheetId="62">'317'!$F$56</definedName>
    <definedName name="OSRRefD21_2x_2" localSheetId="66">'321'!$F$44</definedName>
    <definedName name="OSRRefD21_2x_2" localSheetId="68">'325'!$F$45</definedName>
    <definedName name="OSRRefD21_2x_2" localSheetId="58">'326'!$F$48</definedName>
    <definedName name="OSRRefD21_2x_2" localSheetId="51">'330'!$F$53</definedName>
    <definedName name="OSRRefD21_2x_2" localSheetId="56">'331'!$F$64</definedName>
    <definedName name="OSRRefD21_2x_2" localSheetId="59">'332'!$F$47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'415'!$F$47</definedName>
    <definedName name="OSRRefD21_2x_2" localSheetId="80">'418'!$F$44</definedName>
    <definedName name="OSRRefD21_2x_2" localSheetId="81">'423'!$F$39</definedName>
    <definedName name="OSRRefD21_2x_2" localSheetId="84">'425'!$F$25</definedName>
    <definedName name="OSRRefD21_2x_2" localSheetId="86">'430'!$F$40</definedName>
    <definedName name="OSRRefD21_2x_2" localSheetId="87">'433'!$F$48</definedName>
    <definedName name="OSRRefD21_2x_2" localSheetId="88">'444'!$F$48</definedName>
    <definedName name="OSRRefD21_2x_2" localSheetId="89">'450'!$F$48</definedName>
    <definedName name="OSRRefD21_2x_2" localSheetId="72">'491'!$F$48</definedName>
    <definedName name="OSRRefD21_2x_2" localSheetId="85">'492'!$F$48</definedName>
    <definedName name="OSRRefD21_2x_2" localSheetId="91">'501'!$F$42</definedName>
    <definedName name="OSRRefD21_2x_2" localSheetId="39">'Div 2'!$F$42</definedName>
    <definedName name="OSRRefD21_2x_2" localSheetId="47">'Div 3'!$F$79</definedName>
    <definedName name="OSRRefD21_2x_2" localSheetId="70">'Div 4'!$F$50</definedName>
    <definedName name="OSRRefD21_2x_2" localSheetId="90">'Div 5'!$F$42</definedName>
    <definedName name="OSRRefD21_2x_2" localSheetId="61">'Div 6'!$F$56</definedName>
    <definedName name="OSRRefD21_2x_2" localSheetId="2">Summary!$F$87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'204'!$G$40:$G$41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2">'307'!$G$53</definedName>
    <definedName name="OSRRefD21_2x_3" localSheetId="53">'308'!$G$56</definedName>
    <definedName name="OSRRefD21_2x_3" localSheetId="64">'309'!$G$23</definedName>
    <definedName name="OSRRefD21_2x_3" localSheetId="63">'310'!$G$47</definedName>
    <definedName name="OSRRefD21_2x_3" localSheetId="71">'310 &amp; 491'!$G$49</definedName>
    <definedName name="OSRRefD21_2x_3" localSheetId="54">'311'!$G$56</definedName>
    <definedName name="OSRRefD21_2x_3" localSheetId="65">'313'!$G$23</definedName>
    <definedName name="OSRRefD21_2x_3" localSheetId="57">'315'!$G$64</definedName>
    <definedName name="OSRRefD21_2x_3" localSheetId="60">'316'!$G$47</definedName>
    <definedName name="OSRRefD21_2x_3" localSheetId="62">'317'!$G$56</definedName>
    <definedName name="OSRRefD21_2x_3" localSheetId="66">'321'!$G$44</definedName>
    <definedName name="OSRRefD21_2x_3" localSheetId="68">'325'!$G$45</definedName>
    <definedName name="OSRRefD21_2x_3" localSheetId="58">'326'!$G$48</definedName>
    <definedName name="OSRRefD21_2x_3" localSheetId="51">'330'!$G$53</definedName>
    <definedName name="OSRRefD21_2x_3" localSheetId="56">'331'!$G$64</definedName>
    <definedName name="OSRRefD21_2x_3" localSheetId="59">'332'!$G$47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'415'!$G$47</definedName>
    <definedName name="OSRRefD21_2x_3" localSheetId="80">'418'!$G$44</definedName>
    <definedName name="OSRRefD21_2x_3" localSheetId="81">'423'!$G$39</definedName>
    <definedName name="OSRRefD21_2x_3" localSheetId="84">'425'!$G$25</definedName>
    <definedName name="OSRRefD21_2x_3" localSheetId="86">'430'!$G$40</definedName>
    <definedName name="OSRRefD21_2x_3" localSheetId="87">'433'!$G$48</definedName>
    <definedName name="OSRRefD21_2x_3" localSheetId="88">'444'!$G$48</definedName>
    <definedName name="OSRRefD21_2x_3" localSheetId="89">'450'!$G$48</definedName>
    <definedName name="OSRRefD21_2x_3" localSheetId="72">'491'!$G$48</definedName>
    <definedName name="OSRRefD21_2x_3" localSheetId="85">'492'!$G$48</definedName>
    <definedName name="OSRRefD21_2x_3" localSheetId="91">'501'!$G$42</definedName>
    <definedName name="OSRRefD21_2x_3" localSheetId="39">'Div 2'!$G$42</definedName>
    <definedName name="OSRRefD21_2x_3" localSheetId="47">'Div 3'!$G$79</definedName>
    <definedName name="OSRRefD21_2x_3" localSheetId="70">'Div 4'!$G$50</definedName>
    <definedName name="OSRRefD21_2x_3" localSheetId="90">'Div 5'!$G$42</definedName>
    <definedName name="OSRRefD21_2x_3" localSheetId="61">'Div 6'!$G$56</definedName>
    <definedName name="OSRRefD21_2x_3" localSheetId="2">Summary!$G$87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'204'!$H$40:$H$41</definedName>
    <definedName name="OSRRefD21_2x_4" localSheetId="45">'205'!$H$40</definedName>
    <definedName name="OSRRefD21_2x_4" localSheetId="46">'206'!$H$40</definedName>
    <definedName name="OSRRefD21_2x_4" localSheetId="48">'300'!$H$75</definedName>
    <definedName name="OSRRefD21_2x_4" localSheetId="49">'300 &amp; 317'!$H$81</definedName>
    <definedName name="OSRRefD21_2x_4" localSheetId="50">'301'!$H$42</definedName>
    <definedName name="OSRRefD21_2x_4" localSheetId="52">'307'!$H$53</definedName>
    <definedName name="OSRRefD21_2x_4" localSheetId="53">'308'!$H$56</definedName>
    <definedName name="OSRRefD21_2x_4" localSheetId="64">'309'!$H$23</definedName>
    <definedName name="OSRRefD21_2x_4" localSheetId="63">'310'!$H$47</definedName>
    <definedName name="OSRRefD21_2x_4" localSheetId="71">'310 &amp; 491'!$H$49</definedName>
    <definedName name="OSRRefD21_2x_4" localSheetId="54">'311'!$H$56</definedName>
    <definedName name="OSRRefD21_2x_4" localSheetId="65">'313'!$H$23</definedName>
    <definedName name="OSRRefD21_2x_4" localSheetId="57">'315'!$H$64</definedName>
    <definedName name="OSRRefD21_2x_4" localSheetId="60">'316'!$H$47</definedName>
    <definedName name="OSRRefD21_2x_4" localSheetId="62">'317'!$H$56</definedName>
    <definedName name="OSRRefD21_2x_4" localSheetId="66">'321'!$H$44</definedName>
    <definedName name="OSRRefD21_2x_4" localSheetId="68">'325'!$H$45</definedName>
    <definedName name="OSRRefD21_2x_4" localSheetId="58">'326'!$H$48</definedName>
    <definedName name="OSRRefD21_2x_4" localSheetId="51">'330'!$H$53</definedName>
    <definedName name="OSRRefD21_2x_4" localSheetId="56">'331'!$H$64</definedName>
    <definedName name="OSRRefD21_2x_4" localSheetId="59">'332'!$H$47</definedName>
    <definedName name="OSRRefD21_2x_4" localSheetId="73">'405'!$H$47</definedName>
    <definedName name="OSRRefD21_2x_4" localSheetId="75">'411'!$H$40</definedName>
    <definedName name="OSRRefD21_2x_4" localSheetId="76">'412'!$H$23</definedName>
    <definedName name="OSRRefD21_2x_4" localSheetId="79">'415'!$H$47</definedName>
    <definedName name="OSRRefD21_2x_4" localSheetId="80">'418'!$H$44</definedName>
    <definedName name="OSRRefD21_2x_4" localSheetId="81">'423'!$H$39</definedName>
    <definedName name="OSRRefD21_2x_4" localSheetId="84">'425'!$H$25</definedName>
    <definedName name="OSRRefD21_2x_4" localSheetId="86">'430'!$H$40</definedName>
    <definedName name="OSRRefD21_2x_4" localSheetId="87">'433'!$H$48</definedName>
    <definedName name="OSRRefD21_2x_4" localSheetId="88">'444'!$H$48</definedName>
    <definedName name="OSRRefD21_2x_4" localSheetId="89">'450'!$H$48</definedName>
    <definedName name="OSRRefD21_2x_4" localSheetId="72">'491'!$H$48</definedName>
    <definedName name="OSRRefD21_2x_4" localSheetId="85">'492'!$H$48</definedName>
    <definedName name="OSRRefD21_2x_4" localSheetId="91">'501'!$H$42</definedName>
    <definedName name="OSRRefD21_2x_4" localSheetId="39">'Div 2'!$H$42</definedName>
    <definedName name="OSRRefD21_2x_4" localSheetId="47">'Div 3'!$H$79</definedName>
    <definedName name="OSRRefD21_2x_4" localSheetId="70">'Div 4'!$H$50</definedName>
    <definedName name="OSRRefD21_2x_4" localSheetId="90">'Div 5'!$H$42</definedName>
    <definedName name="OSRRefD21_2x_4" localSheetId="61">'Div 6'!$H$56</definedName>
    <definedName name="OSRRefD21_2x_4" localSheetId="2">Summary!$H$87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'204'!$I$40:$I$41</definedName>
    <definedName name="OSRRefD21_2x_5" localSheetId="45">'205'!$I$40</definedName>
    <definedName name="OSRRefD21_2x_5" localSheetId="46">'206'!$I$40</definedName>
    <definedName name="OSRRefD21_2x_5" localSheetId="48">'300'!$I$75</definedName>
    <definedName name="OSRRefD21_2x_5" localSheetId="49">'300 &amp; 317'!$I$81</definedName>
    <definedName name="OSRRefD21_2x_5" localSheetId="50">'301'!$I$42</definedName>
    <definedName name="OSRRefD21_2x_5" localSheetId="52">'307'!$I$53</definedName>
    <definedName name="OSRRefD21_2x_5" localSheetId="53">'308'!$I$56</definedName>
    <definedName name="OSRRefD21_2x_5" localSheetId="64">'309'!$I$23</definedName>
    <definedName name="OSRRefD21_2x_5" localSheetId="63">'310'!$I$47</definedName>
    <definedName name="OSRRefD21_2x_5" localSheetId="71">'310 &amp; 491'!$I$49</definedName>
    <definedName name="OSRRefD21_2x_5" localSheetId="54">'311'!$I$56</definedName>
    <definedName name="OSRRefD21_2x_5" localSheetId="65">'313'!$I$23</definedName>
    <definedName name="OSRRefD21_2x_5" localSheetId="57">'315'!$I$64</definedName>
    <definedName name="OSRRefD21_2x_5" localSheetId="60">'316'!$I$47</definedName>
    <definedName name="OSRRefD21_2x_5" localSheetId="62">'317'!$I$56</definedName>
    <definedName name="OSRRefD21_2x_5" localSheetId="66">'321'!$I$44</definedName>
    <definedName name="OSRRefD21_2x_5" localSheetId="68">'325'!$I$45</definedName>
    <definedName name="OSRRefD21_2x_5" localSheetId="58">'326'!$I$48</definedName>
    <definedName name="OSRRefD21_2x_5" localSheetId="51">'330'!$I$53</definedName>
    <definedName name="OSRRefD21_2x_5" localSheetId="56">'331'!$I$64</definedName>
    <definedName name="OSRRefD21_2x_5" localSheetId="59">'332'!$I$47</definedName>
    <definedName name="OSRRefD21_2x_5" localSheetId="73">'405'!$I$47</definedName>
    <definedName name="OSRRefD21_2x_5" localSheetId="75">'411'!$I$40</definedName>
    <definedName name="OSRRefD21_2x_5" localSheetId="76">'412'!$I$23</definedName>
    <definedName name="OSRRefD21_2x_5" localSheetId="79">'415'!$I$47</definedName>
    <definedName name="OSRRefD21_2x_5" localSheetId="80">'418'!$I$44</definedName>
    <definedName name="OSRRefD21_2x_5" localSheetId="81">'423'!$I$39</definedName>
    <definedName name="OSRRefD21_2x_5" localSheetId="84">'425'!$I$25</definedName>
    <definedName name="OSRRefD21_2x_5" localSheetId="86">'430'!$I$40</definedName>
    <definedName name="OSRRefD21_2x_5" localSheetId="87">'433'!$I$48</definedName>
    <definedName name="OSRRefD21_2x_5" localSheetId="88">'444'!$I$48</definedName>
    <definedName name="OSRRefD21_2x_5" localSheetId="89">'450'!$I$48</definedName>
    <definedName name="OSRRefD21_2x_5" localSheetId="72">'491'!$I$48</definedName>
    <definedName name="OSRRefD21_2x_5" localSheetId="85">'492'!$I$48</definedName>
    <definedName name="OSRRefD21_2x_5" localSheetId="91">'501'!$I$42</definedName>
    <definedName name="OSRRefD21_2x_5" localSheetId="39">'Div 2'!$I$42</definedName>
    <definedName name="OSRRefD21_2x_5" localSheetId="47">'Div 3'!$I$79</definedName>
    <definedName name="OSRRefD21_2x_5" localSheetId="70">'Div 4'!$I$50</definedName>
    <definedName name="OSRRefD21_2x_5" localSheetId="90">'Div 5'!$I$42</definedName>
    <definedName name="OSRRefD21_2x_5" localSheetId="61">'Div 6'!$I$56</definedName>
    <definedName name="OSRRefD21_2x_5" localSheetId="2">Summary!$I$87</definedName>
    <definedName name="OSRRefD21_3_0x" localSheetId="40">'200'!$D$25:$I$25</definedName>
    <definedName name="OSRRefD21_3_0x" localSheetId="41">'201'!$D$42:$I$42</definedName>
    <definedName name="OSRRefD21_3_0x" localSheetId="42">'202'!$D$42:$I$42</definedName>
    <definedName name="OSRRefD21_3_0x" localSheetId="43">'203'!$D$43:$I$43</definedName>
    <definedName name="OSRRefD21_3_0x" localSheetId="44">'204'!$D$43:$I$43</definedName>
    <definedName name="OSRRefD21_3_0x" localSheetId="45">'205'!$D$42:$I$42</definedName>
    <definedName name="OSRRefD21_3_0x" localSheetId="46">'206'!$D$42:$I$42</definedName>
    <definedName name="OSRRefD21_3_0x" localSheetId="48">'300'!$D$77:$I$77</definedName>
    <definedName name="OSRRefD21_3_0x" localSheetId="49">'300 &amp; 317'!$D$83:$I$83</definedName>
    <definedName name="OSRRefD21_3_0x" localSheetId="50">'301'!$D$44:$I$44</definedName>
    <definedName name="OSRRefD21_3_0x" localSheetId="52">'307'!$D$55:$I$55</definedName>
    <definedName name="OSRRefD21_3_0x" localSheetId="53">'308'!$D$58:$I$58</definedName>
    <definedName name="OSRRefD21_3_0x" localSheetId="64">'309'!$D$25:$I$25</definedName>
    <definedName name="OSRRefD21_3_0x" localSheetId="63">'310'!$D$49:$I$49</definedName>
    <definedName name="OSRRefD21_3_0x" localSheetId="71">'310 &amp; 491'!$D$51:$I$51</definedName>
    <definedName name="OSRRefD21_3_0x" localSheetId="54">'311'!$D$58:$I$58</definedName>
    <definedName name="OSRRefD21_3_0x" localSheetId="57">'315'!$D$66:$I$66</definedName>
    <definedName name="OSRRefD21_3_0x" localSheetId="60">'316'!$D$49:$I$49</definedName>
    <definedName name="OSRRefD21_3_0x" localSheetId="62">'317'!$D$58:$I$58</definedName>
    <definedName name="OSRRefD21_3_0x" localSheetId="66">'321'!$D$46:$I$46</definedName>
    <definedName name="OSRRefD21_3_0x" localSheetId="68">'325'!$D$47:$I$47</definedName>
    <definedName name="OSRRefD21_3_0x" localSheetId="58">'326'!$D$50:$I$50</definedName>
    <definedName name="OSRRefD21_3_0x" localSheetId="51">'330'!$D$55:$I$55</definedName>
    <definedName name="OSRRefD21_3_0x" localSheetId="56">'331'!$D$66:$I$66</definedName>
    <definedName name="OSRRefD21_3_0x" localSheetId="59">'332'!$D$49:$I$49</definedName>
    <definedName name="OSRRefD21_3_0x" localSheetId="73">'405'!$D$49:$I$49</definedName>
    <definedName name="OSRRefD21_3_0x" localSheetId="75">'411'!$D$42:$I$42</definedName>
    <definedName name="OSRRefD21_3_0x" localSheetId="79">'415'!$D$49:$I$49</definedName>
    <definedName name="OSRRefD21_3_0x" localSheetId="80">'418'!$D$46:$I$46</definedName>
    <definedName name="OSRRefD21_3_0x" localSheetId="81">'423'!$D$41:$I$41</definedName>
    <definedName name="OSRRefD21_3_0x" localSheetId="84">'425'!$D$27:$I$27</definedName>
    <definedName name="OSRRefD21_3_0x" localSheetId="86">'430'!$D$42:$I$42</definedName>
    <definedName name="OSRRefD21_3_0x" localSheetId="87">'433'!$D$50:$I$50</definedName>
    <definedName name="OSRRefD21_3_0x" localSheetId="88">'444'!$D$50:$I$50</definedName>
    <definedName name="OSRRefD21_3_0x" localSheetId="89">'450'!$D$50:$I$50</definedName>
    <definedName name="OSRRefD21_3_0x" localSheetId="72">'491'!$D$50:$I$50</definedName>
    <definedName name="OSRRefD21_3_0x" localSheetId="85">'492'!$D$50:$I$50</definedName>
    <definedName name="OSRRefD21_3_0x" localSheetId="91">'501'!$D$44:$I$44</definedName>
    <definedName name="OSRRefD21_3_0x" localSheetId="39">'Div 2'!$D$44:$I$44</definedName>
    <definedName name="OSRRefD21_3_0x" localSheetId="47">'Div 3'!$D$81:$I$81</definedName>
    <definedName name="OSRRefD21_3_0x" localSheetId="70">'Div 4'!$D$52:$I$52</definedName>
    <definedName name="OSRRefD21_3_0x" localSheetId="90">'Div 5'!$D$44:$I$44</definedName>
    <definedName name="OSRRefD21_3_0x" localSheetId="61">'Div 6'!$D$58:$I$58</definedName>
    <definedName name="OSRRefD21_3_0x" localSheetId="2">Summary!$D$89:$I$89</definedName>
    <definedName name="OSRRefD21_3_1x" localSheetId="40">'200'!$D$26:$I$26</definedName>
    <definedName name="OSRRefD21_3_1x" localSheetId="46">'206'!$D$43:$I$43</definedName>
    <definedName name="OSRRefD21_3_1x" localSheetId="75">'411'!$D$43:$I$43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2">'307'!$D$55</definedName>
    <definedName name="OSRRefD21_3x_0" localSheetId="53">'308'!$D$58</definedName>
    <definedName name="OSRRefD21_3x_0" localSheetId="64">'309'!$D$25</definedName>
    <definedName name="OSRRefD21_3x_0" localSheetId="63">'310'!$D$49</definedName>
    <definedName name="OSRRefD21_3x_0" localSheetId="71">'310 &amp; 491'!$D$51</definedName>
    <definedName name="OSRRefD21_3x_0" localSheetId="54">'311'!$D$58</definedName>
    <definedName name="OSRRefD21_3x_0" localSheetId="57">'315'!$D$66</definedName>
    <definedName name="OSRRefD21_3x_0" localSheetId="60">'316'!$D$49</definedName>
    <definedName name="OSRRefD21_3x_0" localSheetId="62">'317'!$D$58</definedName>
    <definedName name="OSRRefD21_3x_0" localSheetId="66">'321'!$D$46</definedName>
    <definedName name="OSRRefD21_3x_0" localSheetId="68">'325'!$D$47</definedName>
    <definedName name="OSRRefD21_3x_0" localSheetId="58">'326'!$D$50</definedName>
    <definedName name="OSRRefD21_3x_0" localSheetId="51">'330'!$D$55</definedName>
    <definedName name="OSRRefD21_3x_0" localSheetId="56">'331'!$D$66</definedName>
    <definedName name="OSRRefD21_3x_0" localSheetId="59">'332'!$D$49</definedName>
    <definedName name="OSRRefD21_3x_0" localSheetId="73">'405'!$D$49</definedName>
    <definedName name="OSRRefD21_3x_0" localSheetId="75">'411'!$D$42:$D$43</definedName>
    <definedName name="OSRRefD21_3x_0" localSheetId="79">'415'!$D$49</definedName>
    <definedName name="OSRRefD21_3x_0" localSheetId="80">'418'!$D$46</definedName>
    <definedName name="OSRRefD21_3x_0" localSheetId="81">'423'!$D$41</definedName>
    <definedName name="OSRRefD21_3x_0" localSheetId="84">'425'!$D$27</definedName>
    <definedName name="OSRRefD21_3x_0" localSheetId="86">'430'!$D$42</definedName>
    <definedName name="OSRRefD21_3x_0" localSheetId="87">'433'!$D$50</definedName>
    <definedName name="OSRRefD21_3x_0" localSheetId="88">'444'!$D$50</definedName>
    <definedName name="OSRRefD21_3x_0" localSheetId="89">'450'!$D$50</definedName>
    <definedName name="OSRRefD21_3x_0" localSheetId="72">'491'!$D$50</definedName>
    <definedName name="OSRRefD21_3x_0" localSheetId="85">'492'!$D$50</definedName>
    <definedName name="OSRRefD21_3x_0" localSheetId="91">'501'!$D$44</definedName>
    <definedName name="OSRRefD21_3x_0" localSheetId="39">'Div 2'!$D$44</definedName>
    <definedName name="OSRRefD21_3x_0" localSheetId="47">'Div 3'!$D$81</definedName>
    <definedName name="OSRRefD21_3x_0" localSheetId="70">'Div 4'!$D$52</definedName>
    <definedName name="OSRRefD21_3x_0" localSheetId="90">'Div 5'!$D$44</definedName>
    <definedName name="OSRRefD21_3x_0" localSheetId="61">'Div 6'!$D$58</definedName>
    <definedName name="OSRRefD21_3x_0" localSheetId="2">Summary!$D$89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2">'307'!$E$55</definedName>
    <definedName name="OSRRefD21_3x_1" localSheetId="53">'308'!$E$58</definedName>
    <definedName name="OSRRefD21_3x_1" localSheetId="64">'309'!$E$25</definedName>
    <definedName name="OSRRefD21_3x_1" localSheetId="63">'310'!$E$49</definedName>
    <definedName name="OSRRefD21_3x_1" localSheetId="71">'310 &amp; 491'!$E$51</definedName>
    <definedName name="OSRRefD21_3x_1" localSheetId="54">'311'!$E$58</definedName>
    <definedName name="OSRRefD21_3x_1" localSheetId="57">'315'!$E$66</definedName>
    <definedName name="OSRRefD21_3x_1" localSheetId="60">'316'!$E$49</definedName>
    <definedName name="OSRRefD21_3x_1" localSheetId="62">'317'!$E$58</definedName>
    <definedName name="OSRRefD21_3x_1" localSheetId="66">'321'!$E$46</definedName>
    <definedName name="OSRRefD21_3x_1" localSheetId="68">'325'!$E$47</definedName>
    <definedName name="OSRRefD21_3x_1" localSheetId="58">'326'!$E$50</definedName>
    <definedName name="OSRRefD21_3x_1" localSheetId="51">'330'!$E$55</definedName>
    <definedName name="OSRRefD21_3x_1" localSheetId="56">'331'!$E$66</definedName>
    <definedName name="OSRRefD21_3x_1" localSheetId="59">'332'!$E$49</definedName>
    <definedName name="OSRRefD21_3x_1" localSheetId="73">'405'!$E$49</definedName>
    <definedName name="OSRRefD21_3x_1" localSheetId="75">'411'!$E$42:$E$43</definedName>
    <definedName name="OSRRefD21_3x_1" localSheetId="79">'415'!$E$49</definedName>
    <definedName name="OSRRefD21_3x_1" localSheetId="80">'418'!$E$46</definedName>
    <definedName name="OSRRefD21_3x_1" localSheetId="81">'423'!$E$41</definedName>
    <definedName name="OSRRefD21_3x_1" localSheetId="84">'425'!$E$27</definedName>
    <definedName name="OSRRefD21_3x_1" localSheetId="86">'430'!$E$42</definedName>
    <definedName name="OSRRefD21_3x_1" localSheetId="87">'433'!$E$50</definedName>
    <definedName name="OSRRefD21_3x_1" localSheetId="88">'444'!$E$50</definedName>
    <definedName name="OSRRefD21_3x_1" localSheetId="89">'450'!$E$50</definedName>
    <definedName name="OSRRefD21_3x_1" localSheetId="72">'491'!$E$50</definedName>
    <definedName name="OSRRefD21_3x_1" localSheetId="85">'492'!$E$50</definedName>
    <definedName name="OSRRefD21_3x_1" localSheetId="91">'501'!$E$44</definedName>
    <definedName name="OSRRefD21_3x_1" localSheetId="39">'Div 2'!$E$44</definedName>
    <definedName name="OSRRefD21_3x_1" localSheetId="47">'Div 3'!$E$81</definedName>
    <definedName name="OSRRefD21_3x_1" localSheetId="70">'Div 4'!$E$52</definedName>
    <definedName name="OSRRefD21_3x_1" localSheetId="90">'Div 5'!$E$44</definedName>
    <definedName name="OSRRefD21_3x_1" localSheetId="61">'Div 6'!$E$58</definedName>
    <definedName name="OSRRefD21_3x_1" localSheetId="2">Summary!$E$89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2">'307'!$F$55</definedName>
    <definedName name="OSRRefD21_3x_2" localSheetId="53">'308'!$F$58</definedName>
    <definedName name="OSRRefD21_3x_2" localSheetId="64">'309'!$F$25</definedName>
    <definedName name="OSRRefD21_3x_2" localSheetId="63">'310'!$F$49</definedName>
    <definedName name="OSRRefD21_3x_2" localSheetId="71">'310 &amp; 491'!$F$51</definedName>
    <definedName name="OSRRefD21_3x_2" localSheetId="54">'311'!$F$58</definedName>
    <definedName name="OSRRefD21_3x_2" localSheetId="57">'315'!$F$66</definedName>
    <definedName name="OSRRefD21_3x_2" localSheetId="60">'316'!$F$49</definedName>
    <definedName name="OSRRefD21_3x_2" localSheetId="62">'317'!$F$58</definedName>
    <definedName name="OSRRefD21_3x_2" localSheetId="66">'321'!$F$46</definedName>
    <definedName name="OSRRefD21_3x_2" localSheetId="68">'325'!$F$47</definedName>
    <definedName name="OSRRefD21_3x_2" localSheetId="58">'326'!$F$50</definedName>
    <definedName name="OSRRefD21_3x_2" localSheetId="51">'330'!$F$55</definedName>
    <definedName name="OSRRefD21_3x_2" localSheetId="56">'331'!$F$66</definedName>
    <definedName name="OSRRefD21_3x_2" localSheetId="59">'332'!$F$49</definedName>
    <definedName name="OSRRefD21_3x_2" localSheetId="73">'405'!$F$49</definedName>
    <definedName name="OSRRefD21_3x_2" localSheetId="75">'411'!$F$42:$F$43</definedName>
    <definedName name="OSRRefD21_3x_2" localSheetId="79">'415'!$F$49</definedName>
    <definedName name="OSRRefD21_3x_2" localSheetId="80">'418'!$F$46</definedName>
    <definedName name="OSRRefD21_3x_2" localSheetId="81">'423'!$F$41</definedName>
    <definedName name="OSRRefD21_3x_2" localSheetId="84">'425'!$F$27</definedName>
    <definedName name="OSRRefD21_3x_2" localSheetId="86">'430'!$F$42</definedName>
    <definedName name="OSRRefD21_3x_2" localSheetId="87">'433'!$F$50</definedName>
    <definedName name="OSRRefD21_3x_2" localSheetId="88">'444'!$F$50</definedName>
    <definedName name="OSRRefD21_3x_2" localSheetId="89">'450'!$F$50</definedName>
    <definedName name="OSRRefD21_3x_2" localSheetId="72">'491'!$F$50</definedName>
    <definedName name="OSRRefD21_3x_2" localSheetId="85">'492'!$F$50</definedName>
    <definedName name="OSRRefD21_3x_2" localSheetId="91">'501'!$F$44</definedName>
    <definedName name="OSRRefD21_3x_2" localSheetId="39">'Div 2'!$F$44</definedName>
    <definedName name="OSRRefD21_3x_2" localSheetId="47">'Div 3'!$F$81</definedName>
    <definedName name="OSRRefD21_3x_2" localSheetId="70">'Div 4'!$F$52</definedName>
    <definedName name="OSRRefD21_3x_2" localSheetId="90">'Div 5'!$F$44</definedName>
    <definedName name="OSRRefD21_3x_2" localSheetId="61">'Div 6'!$F$58</definedName>
    <definedName name="OSRRefD21_3x_2" localSheetId="2">Summary!$F$89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2">'307'!$G$55</definedName>
    <definedName name="OSRRefD21_3x_3" localSheetId="53">'308'!$G$58</definedName>
    <definedName name="OSRRefD21_3x_3" localSheetId="64">'309'!$G$25</definedName>
    <definedName name="OSRRefD21_3x_3" localSheetId="63">'310'!$G$49</definedName>
    <definedName name="OSRRefD21_3x_3" localSheetId="71">'310 &amp; 491'!$G$51</definedName>
    <definedName name="OSRRefD21_3x_3" localSheetId="54">'311'!$G$58</definedName>
    <definedName name="OSRRefD21_3x_3" localSheetId="57">'315'!$G$66</definedName>
    <definedName name="OSRRefD21_3x_3" localSheetId="60">'316'!$G$49</definedName>
    <definedName name="OSRRefD21_3x_3" localSheetId="62">'317'!$G$58</definedName>
    <definedName name="OSRRefD21_3x_3" localSheetId="66">'321'!$G$46</definedName>
    <definedName name="OSRRefD21_3x_3" localSheetId="68">'325'!$G$47</definedName>
    <definedName name="OSRRefD21_3x_3" localSheetId="58">'326'!$G$50</definedName>
    <definedName name="OSRRefD21_3x_3" localSheetId="51">'330'!$G$55</definedName>
    <definedName name="OSRRefD21_3x_3" localSheetId="56">'331'!$G$66</definedName>
    <definedName name="OSRRefD21_3x_3" localSheetId="59">'332'!$G$49</definedName>
    <definedName name="OSRRefD21_3x_3" localSheetId="73">'405'!$G$49</definedName>
    <definedName name="OSRRefD21_3x_3" localSheetId="75">'411'!$G$42:$G$43</definedName>
    <definedName name="OSRRefD21_3x_3" localSheetId="79">'415'!$G$49</definedName>
    <definedName name="OSRRefD21_3x_3" localSheetId="80">'418'!$G$46</definedName>
    <definedName name="OSRRefD21_3x_3" localSheetId="81">'423'!$G$41</definedName>
    <definedName name="OSRRefD21_3x_3" localSheetId="84">'425'!$G$27</definedName>
    <definedName name="OSRRefD21_3x_3" localSheetId="86">'430'!$G$42</definedName>
    <definedName name="OSRRefD21_3x_3" localSheetId="87">'433'!$G$50</definedName>
    <definedName name="OSRRefD21_3x_3" localSheetId="88">'444'!$G$50</definedName>
    <definedName name="OSRRefD21_3x_3" localSheetId="89">'450'!$G$50</definedName>
    <definedName name="OSRRefD21_3x_3" localSheetId="72">'491'!$G$50</definedName>
    <definedName name="OSRRefD21_3x_3" localSheetId="85">'492'!$G$50</definedName>
    <definedName name="OSRRefD21_3x_3" localSheetId="91">'501'!$G$44</definedName>
    <definedName name="OSRRefD21_3x_3" localSheetId="39">'Div 2'!$G$44</definedName>
    <definedName name="OSRRefD21_3x_3" localSheetId="47">'Div 3'!$G$81</definedName>
    <definedName name="OSRRefD21_3x_3" localSheetId="70">'Div 4'!$G$52</definedName>
    <definedName name="OSRRefD21_3x_3" localSheetId="90">'Div 5'!$G$44</definedName>
    <definedName name="OSRRefD21_3x_3" localSheetId="61">'Div 6'!$G$58</definedName>
    <definedName name="OSRRefD21_3x_3" localSheetId="2">Summary!$G$89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'206'!$H$42:$H$43</definedName>
    <definedName name="OSRRefD21_3x_4" localSheetId="48">'300'!$H$77</definedName>
    <definedName name="OSRRefD21_3x_4" localSheetId="49">'300 &amp; 317'!$H$83</definedName>
    <definedName name="OSRRefD21_3x_4" localSheetId="50">'301'!$H$44</definedName>
    <definedName name="OSRRefD21_3x_4" localSheetId="52">'307'!$H$55</definedName>
    <definedName name="OSRRefD21_3x_4" localSheetId="53">'308'!$H$58</definedName>
    <definedName name="OSRRefD21_3x_4" localSheetId="64">'309'!$H$25</definedName>
    <definedName name="OSRRefD21_3x_4" localSheetId="63">'310'!$H$49</definedName>
    <definedName name="OSRRefD21_3x_4" localSheetId="71">'310 &amp; 491'!$H$51</definedName>
    <definedName name="OSRRefD21_3x_4" localSheetId="54">'311'!$H$58</definedName>
    <definedName name="OSRRefD21_3x_4" localSheetId="57">'315'!$H$66</definedName>
    <definedName name="OSRRefD21_3x_4" localSheetId="60">'316'!$H$49</definedName>
    <definedName name="OSRRefD21_3x_4" localSheetId="62">'317'!$H$58</definedName>
    <definedName name="OSRRefD21_3x_4" localSheetId="66">'321'!$H$46</definedName>
    <definedName name="OSRRefD21_3x_4" localSheetId="68">'325'!$H$47</definedName>
    <definedName name="OSRRefD21_3x_4" localSheetId="58">'326'!$H$50</definedName>
    <definedName name="OSRRefD21_3x_4" localSheetId="51">'330'!$H$55</definedName>
    <definedName name="OSRRefD21_3x_4" localSheetId="56">'331'!$H$66</definedName>
    <definedName name="OSRRefD21_3x_4" localSheetId="59">'332'!$H$49</definedName>
    <definedName name="OSRRefD21_3x_4" localSheetId="73">'405'!$H$49</definedName>
    <definedName name="OSRRefD21_3x_4" localSheetId="75">'411'!$H$42:$H$43</definedName>
    <definedName name="OSRRefD21_3x_4" localSheetId="79">'415'!$H$49</definedName>
    <definedName name="OSRRefD21_3x_4" localSheetId="80">'418'!$H$46</definedName>
    <definedName name="OSRRefD21_3x_4" localSheetId="81">'423'!$H$41</definedName>
    <definedName name="OSRRefD21_3x_4" localSheetId="84">'425'!$H$27</definedName>
    <definedName name="OSRRefD21_3x_4" localSheetId="86">'430'!$H$42</definedName>
    <definedName name="OSRRefD21_3x_4" localSheetId="87">'433'!$H$50</definedName>
    <definedName name="OSRRefD21_3x_4" localSheetId="88">'444'!$H$50</definedName>
    <definedName name="OSRRefD21_3x_4" localSheetId="89">'450'!$H$50</definedName>
    <definedName name="OSRRefD21_3x_4" localSheetId="72">'491'!$H$50</definedName>
    <definedName name="OSRRefD21_3x_4" localSheetId="85">'492'!$H$50</definedName>
    <definedName name="OSRRefD21_3x_4" localSheetId="91">'501'!$H$44</definedName>
    <definedName name="OSRRefD21_3x_4" localSheetId="39">'Div 2'!$H$44</definedName>
    <definedName name="OSRRefD21_3x_4" localSheetId="47">'Div 3'!$H$81</definedName>
    <definedName name="OSRRefD21_3x_4" localSheetId="70">'Div 4'!$H$52</definedName>
    <definedName name="OSRRefD21_3x_4" localSheetId="90">'Div 5'!$H$44</definedName>
    <definedName name="OSRRefD21_3x_4" localSheetId="61">'Div 6'!$H$58</definedName>
    <definedName name="OSRRefD21_3x_4" localSheetId="2">Summary!$H$89</definedName>
    <definedName name="OSRRefD21_3x_5" localSheetId="40">'200'!$I$25:$I$26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'206'!$I$42:$I$43</definedName>
    <definedName name="OSRRefD21_3x_5" localSheetId="48">'300'!$I$77</definedName>
    <definedName name="OSRRefD21_3x_5" localSheetId="49">'300 &amp; 317'!$I$83</definedName>
    <definedName name="OSRRefD21_3x_5" localSheetId="50">'301'!$I$44</definedName>
    <definedName name="OSRRefD21_3x_5" localSheetId="52">'307'!$I$55</definedName>
    <definedName name="OSRRefD21_3x_5" localSheetId="53">'308'!$I$58</definedName>
    <definedName name="OSRRefD21_3x_5" localSheetId="64">'309'!$I$25</definedName>
    <definedName name="OSRRefD21_3x_5" localSheetId="63">'310'!$I$49</definedName>
    <definedName name="OSRRefD21_3x_5" localSheetId="71">'310 &amp; 491'!$I$51</definedName>
    <definedName name="OSRRefD21_3x_5" localSheetId="54">'311'!$I$58</definedName>
    <definedName name="OSRRefD21_3x_5" localSheetId="57">'315'!$I$66</definedName>
    <definedName name="OSRRefD21_3x_5" localSheetId="60">'316'!$I$49</definedName>
    <definedName name="OSRRefD21_3x_5" localSheetId="62">'317'!$I$58</definedName>
    <definedName name="OSRRefD21_3x_5" localSheetId="66">'321'!$I$46</definedName>
    <definedName name="OSRRefD21_3x_5" localSheetId="68">'325'!$I$47</definedName>
    <definedName name="OSRRefD21_3x_5" localSheetId="58">'326'!$I$50</definedName>
    <definedName name="OSRRefD21_3x_5" localSheetId="51">'330'!$I$55</definedName>
    <definedName name="OSRRefD21_3x_5" localSheetId="56">'331'!$I$66</definedName>
    <definedName name="OSRRefD21_3x_5" localSheetId="59">'332'!$I$49</definedName>
    <definedName name="OSRRefD21_3x_5" localSheetId="73">'405'!$I$49</definedName>
    <definedName name="OSRRefD21_3x_5" localSheetId="75">'411'!$I$42:$I$43</definedName>
    <definedName name="OSRRefD21_3x_5" localSheetId="79">'415'!$I$49</definedName>
    <definedName name="OSRRefD21_3x_5" localSheetId="80">'418'!$I$46</definedName>
    <definedName name="OSRRefD21_3x_5" localSheetId="81">'423'!$I$41</definedName>
    <definedName name="OSRRefD21_3x_5" localSheetId="84">'425'!$I$27</definedName>
    <definedName name="OSRRefD21_3x_5" localSheetId="86">'430'!$I$42</definedName>
    <definedName name="OSRRefD21_3x_5" localSheetId="87">'433'!$I$50</definedName>
    <definedName name="OSRRefD21_3x_5" localSheetId="88">'444'!$I$50</definedName>
    <definedName name="OSRRefD21_3x_5" localSheetId="89">'450'!$I$50</definedName>
    <definedName name="OSRRefD21_3x_5" localSheetId="72">'491'!$I$50</definedName>
    <definedName name="OSRRefD21_3x_5" localSheetId="85">'492'!$I$50</definedName>
    <definedName name="OSRRefD21_3x_5" localSheetId="91">'501'!$I$44</definedName>
    <definedName name="OSRRefD21_3x_5" localSheetId="39">'Div 2'!$I$44</definedName>
    <definedName name="OSRRefD21_3x_5" localSheetId="47">'Div 3'!$I$81</definedName>
    <definedName name="OSRRefD21_3x_5" localSheetId="70">'Div 4'!$I$52</definedName>
    <definedName name="OSRRefD21_3x_5" localSheetId="90">'Div 5'!$I$44</definedName>
    <definedName name="OSRRefD21_3x_5" localSheetId="61">'Div 6'!$I$58</definedName>
    <definedName name="OSRRefD21_3x_5" localSheetId="2">Summary!$I$89</definedName>
    <definedName name="OSRRefD21_4_0x" localSheetId="41">'201'!$D$44:$I$44</definedName>
    <definedName name="OSRRefD21_4_0x" localSheetId="42">'202'!$D$44:$I$44</definedName>
    <definedName name="OSRRefD21_4_0x" localSheetId="43">'203'!$D$45:$I$45</definedName>
    <definedName name="OSRRefD21_4_0x" localSheetId="44">'204'!$D$45:$I$45</definedName>
    <definedName name="OSRRefD21_4_0x" localSheetId="45">'205'!$D$44:$I$44</definedName>
    <definedName name="OSRRefD21_4_0x" localSheetId="46">'206'!$D$45:$I$45</definedName>
    <definedName name="OSRRefD21_4_0x" localSheetId="48">'300'!$D$79:$I$79</definedName>
    <definedName name="OSRRefD21_4_0x" localSheetId="49">'300 &amp; 317'!$D$85:$I$85</definedName>
    <definedName name="OSRRefD21_4_0x" localSheetId="50">'301'!$D$46:$I$46</definedName>
    <definedName name="OSRRefD21_4_0x" localSheetId="52">'307'!$D$57:$I$57</definedName>
    <definedName name="OSRRefD21_4_0x" localSheetId="53">'308'!$D$60:$I$60</definedName>
    <definedName name="OSRRefD21_4_0x" localSheetId="64">'309'!$D$27:$I$27</definedName>
    <definedName name="OSRRefD21_4_0x" localSheetId="63">'310'!$D$51:$I$51</definedName>
    <definedName name="OSRRefD21_4_0x" localSheetId="71">'310 &amp; 491'!$D$53:$I$53</definedName>
    <definedName name="OSRRefD21_4_0x" localSheetId="54">'311'!$D$60:$I$60</definedName>
    <definedName name="OSRRefD21_4_0x" localSheetId="57">'315'!$D$68:$I$68</definedName>
    <definedName name="OSRRefD21_4_0x" localSheetId="60">'316'!$D$51:$I$51</definedName>
    <definedName name="OSRRefD21_4_0x" localSheetId="62">'317'!$D$60:$I$60</definedName>
    <definedName name="OSRRefD21_4_0x" localSheetId="66">'321'!$D$48:$I$48</definedName>
    <definedName name="OSRRefD21_4_0x" localSheetId="68">'325'!$D$49:$I$49</definedName>
    <definedName name="OSRRefD21_4_0x" localSheetId="58">'326'!$D$52:$I$52</definedName>
    <definedName name="OSRRefD21_4_0x" localSheetId="51">'330'!$D$57:$I$57</definedName>
    <definedName name="OSRRefD21_4_0x" localSheetId="56">'331'!$D$68:$I$68</definedName>
    <definedName name="OSRRefD21_4_0x" localSheetId="59">'332'!$D$51:$I$51</definedName>
    <definedName name="OSRRefD21_4_0x" localSheetId="73">'405'!$D$51:$I$51</definedName>
    <definedName name="OSRRefD21_4_0x" localSheetId="75">'411'!$D$45:$I$45</definedName>
    <definedName name="OSRRefD21_4_0x" localSheetId="79">'415'!$D$51:$I$51</definedName>
    <definedName name="OSRRefD21_4_0x" localSheetId="80">'418'!$D$48:$I$48</definedName>
    <definedName name="OSRRefD21_4_0x" localSheetId="81">'423'!$D$43:$I$43</definedName>
    <definedName name="OSRRefD21_4_0x" localSheetId="84">'425'!$D$29:$I$29</definedName>
    <definedName name="OSRRefD21_4_0x" localSheetId="86">'430'!$D$44:$I$44</definedName>
    <definedName name="OSRRefD21_4_0x" localSheetId="87">'433'!$D$52:$I$52</definedName>
    <definedName name="OSRRefD21_4_0x" localSheetId="88">'444'!$D$52:$I$52</definedName>
    <definedName name="OSRRefD21_4_0x" localSheetId="89">'450'!$D$52:$I$52</definedName>
    <definedName name="OSRRefD21_4_0x" localSheetId="72">'491'!$D$52:$I$52</definedName>
    <definedName name="OSRRefD21_4_0x" localSheetId="85">'492'!$D$52:$I$52</definedName>
    <definedName name="OSRRefD21_4_0x" localSheetId="91">'501'!$D$46:$I$46</definedName>
    <definedName name="OSRRefD21_4_0x" localSheetId="39">'Div 2'!$D$46:$I$46</definedName>
    <definedName name="OSRRefD21_4_0x" localSheetId="47">'Div 3'!$D$83:$I$83</definedName>
    <definedName name="OSRRefD21_4_0x" localSheetId="70">'Div 4'!$D$54:$I$54</definedName>
    <definedName name="OSRRefD21_4_0x" localSheetId="90">'Div 5'!$D$46:$I$46</definedName>
    <definedName name="OSRRefD21_4_0x" localSheetId="61">'Div 6'!$D$60:$I$60</definedName>
    <definedName name="OSRRefD21_4_0x" localSheetId="2">Summary!$D$91:$I$91</definedName>
    <definedName name="OSRRefD21_4_1x" localSheetId="44">'204'!$D$46:$I$46</definedName>
    <definedName name="OSRRefD21_4_1x" localSheetId="45">'205'!$D$45:$I$45</definedName>
    <definedName name="OSRRefD21_4_1x" localSheetId="64">'309'!$D$28:$I$28</definedName>
    <definedName name="OSRRefD21_4_1x" localSheetId="80">'418'!$D$49:$I$49</definedName>
    <definedName name="OSRRefD21_4_2x" localSheetId="44">'204'!$D$47:$I$47</definedName>
    <definedName name="OSRRefD21_4_2x" localSheetId="45">'205'!$D$46:$I$46</definedName>
    <definedName name="OSRRefD21_4_3x" localSheetId="44">'204'!$D$48:$I$48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2">'307'!$D$57</definedName>
    <definedName name="OSRRefD21_4x_0" localSheetId="53">'308'!$D$60</definedName>
    <definedName name="OSRRefD21_4x_0" localSheetId="64">'309'!$D$27:$D$28</definedName>
    <definedName name="OSRRefD21_4x_0" localSheetId="63">'310'!$D$51</definedName>
    <definedName name="OSRRefD21_4x_0" localSheetId="71">'310 &amp; 491'!$D$53</definedName>
    <definedName name="OSRRefD21_4x_0" localSheetId="54">'311'!$D$60</definedName>
    <definedName name="OSRRefD21_4x_0" localSheetId="57">'315'!$D$68</definedName>
    <definedName name="OSRRefD21_4x_0" localSheetId="60">'316'!$D$51</definedName>
    <definedName name="OSRRefD21_4x_0" localSheetId="62">'317'!$D$60</definedName>
    <definedName name="OSRRefD21_4x_0" localSheetId="66">'321'!$D$48</definedName>
    <definedName name="OSRRefD21_4x_0" localSheetId="68">'325'!$D$49</definedName>
    <definedName name="OSRRefD21_4x_0" localSheetId="58">'326'!$D$52</definedName>
    <definedName name="OSRRefD21_4x_0" localSheetId="51">'330'!$D$57</definedName>
    <definedName name="OSRRefD21_4x_0" localSheetId="56">'331'!$D$68</definedName>
    <definedName name="OSRRefD21_4x_0" localSheetId="59">'332'!$D$51</definedName>
    <definedName name="OSRRefD21_4x_0" localSheetId="73">'405'!$D$51</definedName>
    <definedName name="OSRRefD21_4x_0" localSheetId="75">'411'!$D$45</definedName>
    <definedName name="OSRRefD21_4x_0" localSheetId="79">'415'!$D$51</definedName>
    <definedName name="OSRRefD21_4x_0" localSheetId="80">'418'!$D$48:$D$49</definedName>
    <definedName name="OSRRefD21_4x_0" localSheetId="81">'423'!$D$43</definedName>
    <definedName name="OSRRefD21_4x_0" localSheetId="84">'425'!$D$29</definedName>
    <definedName name="OSRRefD21_4x_0" localSheetId="86">'430'!$D$44</definedName>
    <definedName name="OSRRefD21_4x_0" localSheetId="87">'433'!$D$52</definedName>
    <definedName name="OSRRefD21_4x_0" localSheetId="88">'444'!$D$52</definedName>
    <definedName name="OSRRefD21_4x_0" localSheetId="89">'450'!$D$52</definedName>
    <definedName name="OSRRefD21_4x_0" localSheetId="72">'491'!$D$52</definedName>
    <definedName name="OSRRefD21_4x_0" localSheetId="85">'492'!$D$52</definedName>
    <definedName name="OSRRefD21_4x_0" localSheetId="91">'501'!$D$46</definedName>
    <definedName name="OSRRefD21_4x_0" localSheetId="39">'Div 2'!$D$46</definedName>
    <definedName name="OSRRefD21_4x_0" localSheetId="47">'Div 3'!$D$83</definedName>
    <definedName name="OSRRefD21_4x_0" localSheetId="70">'Div 4'!$D$54</definedName>
    <definedName name="OSRRefD21_4x_0" localSheetId="90">'Div 5'!$D$46</definedName>
    <definedName name="OSRRefD21_4x_0" localSheetId="61">'Div 6'!$D$60</definedName>
    <definedName name="OSRRefD21_4x_0" localSheetId="2">Summary!$D$91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2">'307'!$E$57</definedName>
    <definedName name="OSRRefD21_4x_1" localSheetId="53">'308'!$E$60</definedName>
    <definedName name="OSRRefD21_4x_1" localSheetId="64">'309'!$E$27:$E$28</definedName>
    <definedName name="OSRRefD21_4x_1" localSheetId="63">'310'!$E$51</definedName>
    <definedName name="OSRRefD21_4x_1" localSheetId="71">'310 &amp; 491'!$E$53</definedName>
    <definedName name="OSRRefD21_4x_1" localSheetId="54">'311'!$E$60</definedName>
    <definedName name="OSRRefD21_4x_1" localSheetId="57">'315'!$E$68</definedName>
    <definedName name="OSRRefD21_4x_1" localSheetId="60">'316'!$E$51</definedName>
    <definedName name="OSRRefD21_4x_1" localSheetId="62">'317'!$E$60</definedName>
    <definedName name="OSRRefD21_4x_1" localSheetId="66">'321'!$E$48</definedName>
    <definedName name="OSRRefD21_4x_1" localSheetId="68">'325'!$E$49</definedName>
    <definedName name="OSRRefD21_4x_1" localSheetId="58">'326'!$E$52</definedName>
    <definedName name="OSRRefD21_4x_1" localSheetId="51">'330'!$E$57</definedName>
    <definedName name="OSRRefD21_4x_1" localSheetId="56">'331'!$E$68</definedName>
    <definedName name="OSRRefD21_4x_1" localSheetId="59">'332'!$E$51</definedName>
    <definedName name="OSRRefD21_4x_1" localSheetId="73">'405'!$E$51</definedName>
    <definedName name="OSRRefD21_4x_1" localSheetId="75">'411'!$E$45</definedName>
    <definedName name="OSRRefD21_4x_1" localSheetId="79">'415'!$E$51</definedName>
    <definedName name="OSRRefD21_4x_1" localSheetId="80">'418'!$E$48:$E$49</definedName>
    <definedName name="OSRRefD21_4x_1" localSheetId="81">'423'!$E$43</definedName>
    <definedName name="OSRRefD21_4x_1" localSheetId="84">'425'!$E$29</definedName>
    <definedName name="OSRRefD21_4x_1" localSheetId="86">'430'!$E$44</definedName>
    <definedName name="OSRRefD21_4x_1" localSheetId="87">'433'!$E$52</definedName>
    <definedName name="OSRRefD21_4x_1" localSheetId="88">'444'!$E$52</definedName>
    <definedName name="OSRRefD21_4x_1" localSheetId="89">'450'!$E$52</definedName>
    <definedName name="OSRRefD21_4x_1" localSheetId="72">'491'!$E$52</definedName>
    <definedName name="OSRRefD21_4x_1" localSheetId="85">'492'!$E$52</definedName>
    <definedName name="OSRRefD21_4x_1" localSheetId="91">'501'!$E$46</definedName>
    <definedName name="OSRRefD21_4x_1" localSheetId="39">'Div 2'!$E$46</definedName>
    <definedName name="OSRRefD21_4x_1" localSheetId="47">'Div 3'!$E$83</definedName>
    <definedName name="OSRRefD21_4x_1" localSheetId="70">'Div 4'!$E$54</definedName>
    <definedName name="OSRRefD21_4x_1" localSheetId="90">'Div 5'!$E$46</definedName>
    <definedName name="OSRRefD21_4x_1" localSheetId="61">'Div 6'!$E$60</definedName>
    <definedName name="OSRRefD21_4x_1" localSheetId="2">Summary!$E$91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2">'307'!$F$57</definedName>
    <definedName name="OSRRefD21_4x_2" localSheetId="53">'308'!$F$60</definedName>
    <definedName name="OSRRefD21_4x_2" localSheetId="64">'309'!$F$27:$F$28</definedName>
    <definedName name="OSRRefD21_4x_2" localSheetId="63">'310'!$F$51</definedName>
    <definedName name="OSRRefD21_4x_2" localSheetId="71">'310 &amp; 491'!$F$53</definedName>
    <definedName name="OSRRefD21_4x_2" localSheetId="54">'311'!$F$60</definedName>
    <definedName name="OSRRefD21_4x_2" localSheetId="57">'315'!$F$68</definedName>
    <definedName name="OSRRefD21_4x_2" localSheetId="60">'316'!$F$51</definedName>
    <definedName name="OSRRefD21_4x_2" localSheetId="62">'317'!$F$60</definedName>
    <definedName name="OSRRefD21_4x_2" localSheetId="66">'321'!$F$48</definedName>
    <definedName name="OSRRefD21_4x_2" localSheetId="68">'325'!$F$49</definedName>
    <definedName name="OSRRefD21_4x_2" localSheetId="58">'326'!$F$52</definedName>
    <definedName name="OSRRefD21_4x_2" localSheetId="51">'330'!$F$57</definedName>
    <definedName name="OSRRefD21_4x_2" localSheetId="56">'331'!$F$68</definedName>
    <definedName name="OSRRefD21_4x_2" localSheetId="59">'332'!$F$51</definedName>
    <definedName name="OSRRefD21_4x_2" localSheetId="73">'405'!$F$51</definedName>
    <definedName name="OSRRefD21_4x_2" localSheetId="75">'411'!$F$45</definedName>
    <definedName name="OSRRefD21_4x_2" localSheetId="79">'415'!$F$51</definedName>
    <definedName name="OSRRefD21_4x_2" localSheetId="80">'418'!$F$48:$F$49</definedName>
    <definedName name="OSRRefD21_4x_2" localSheetId="81">'423'!$F$43</definedName>
    <definedName name="OSRRefD21_4x_2" localSheetId="84">'425'!$F$29</definedName>
    <definedName name="OSRRefD21_4x_2" localSheetId="86">'430'!$F$44</definedName>
    <definedName name="OSRRefD21_4x_2" localSheetId="87">'433'!$F$52</definedName>
    <definedName name="OSRRefD21_4x_2" localSheetId="88">'444'!$F$52</definedName>
    <definedName name="OSRRefD21_4x_2" localSheetId="89">'450'!$F$52</definedName>
    <definedName name="OSRRefD21_4x_2" localSheetId="72">'491'!$F$52</definedName>
    <definedName name="OSRRefD21_4x_2" localSheetId="85">'492'!$F$52</definedName>
    <definedName name="OSRRefD21_4x_2" localSheetId="91">'501'!$F$46</definedName>
    <definedName name="OSRRefD21_4x_2" localSheetId="39">'Div 2'!$F$46</definedName>
    <definedName name="OSRRefD21_4x_2" localSheetId="47">'Div 3'!$F$83</definedName>
    <definedName name="OSRRefD21_4x_2" localSheetId="70">'Div 4'!$F$54</definedName>
    <definedName name="OSRRefD21_4x_2" localSheetId="90">'Div 5'!$F$46</definedName>
    <definedName name="OSRRefD21_4x_2" localSheetId="61">'Div 6'!$F$60</definedName>
    <definedName name="OSRRefD21_4x_2" localSheetId="2">Summary!$F$91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'204'!$G$45:$G$48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2">'307'!$G$57</definedName>
    <definedName name="OSRRefD21_4x_3" localSheetId="53">'308'!$G$60</definedName>
    <definedName name="OSRRefD21_4x_3" localSheetId="64">'309'!$G$27:$G$28</definedName>
    <definedName name="OSRRefD21_4x_3" localSheetId="63">'310'!$G$51</definedName>
    <definedName name="OSRRefD21_4x_3" localSheetId="71">'310 &amp; 491'!$G$53</definedName>
    <definedName name="OSRRefD21_4x_3" localSheetId="54">'311'!$G$60</definedName>
    <definedName name="OSRRefD21_4x_3" localSheetId="57">'315'!$G$68</definedName>
    <definedName name="OSRRefD21_4x_3" localSheetId="60">'316'!$G$51</definedName>
    <definedName name="OSRRefD21_4x_3" localSheetId="62">'317'!$G$60</definedName>
    <definedName name="OSRRefD21_4x_3" localSheetId="66">'321'!$G$48</definedName>
    <definedName name="OSRRefD21_4x_3" localSheetId="68">'325'!$G$49</definedName>
    <definedName name="OSRRefD21_4x_3" localSheetId="58">'326'!$G$52</definedName>
    <definedName name="OSRRefD21_4x_3" localSheetId="51">'330'!$G$57</definedName>
    <definedName name="OSRRefD21_4x_3" localSheetId="56">'331'!$G$68</definedName>
    <definedName name="OSRRefD21_4x_3" localSheetId="59">'332'!$G$51</definedName>
    <definedName name="OSRRefD21_4x_3" localSheetId="73">'405'!$G$51</definedName>
    <definedName name="OSRRefD21_4x_3" localSheetId="75">'411'!$G$45</definedName>
    <definedName name="OSRRefD21_4x_3" localSheetId="79">'415'!$G$51</definedName>
    <definedName name="OSRRefD21_4x_3" localSheetId="80">'418'!$G$48:$G$49</definedName>
    <definedName name="OSRRefD21_4x_3" localSheetId="81">'423'!$G$43</definedName>
    <definedName name="OSRRefD21_4x_3" localSheetId="84">'425'!$G$29</definedName>
    <definedName name="OSRRefD21_4x_3" localSheetId="86">'430'!$G$44</definedName>
    <definedName name="OSRRefD21_4x_3" localSheetId="87">'433'!$G$52</definedName>
    <definedName name="OSRRefD21_4x_3" localSheetId="88">'444'!$G$52</definedName>
    <definedName name="OSRRefD21_4x_3" localSheetId="89">'450'!$G$52</definedName>
    <definedName name="OSRRefD21_4x_3" localSheetId="72">'491'!$G$52</definedName>
    <definedName name="OSRRefD21_4x_3" localSheetId="85">'492'!$G$52</definedName>
    <definedName name="OSRRefD21_4x_3" localSheetId="91">'501'!$G$46</definedName>
    <definedName name="OSRRefD21_4x_3" localSheetId="39">'Div 2'!$G$46</definedName>
    <definedName name="OSRRefD21_4x_3" localSheetId="47">'Div 3'!$G$83</definedName>
    <definedName name="OSRRefD21_4x_3" localSheetId="70">'Div 4'!$G$54</definedName>
    <definedName name="OSRRefD21_4x_3" localSheetId="90">'Div 5'!$G$46</definedName>
    <definedName name="OSRRefD21_4x_3" localSheetId="61">'Div 6'!$G$60</definedName>
    <definedName name="OSRRefD21_4x_3" localSheetId="2">Summary!$G$91</definedName>
    <definedName name="OSRRefD21_4x_4" localSheetId="41">'201'!$H$44</definedName>
    <definedName name="OSRRefD21_4x_4" localSheetId="42">'202'!$H$44</definedName>
    <definedName name="OSRRefD21_4x_4" localSheetId="43">'203'!$H$45</definedName>
    <definedName name="OSRRefD21_4x_4" localSheetId="44">'204'!$H$45:$H$48</definedName>
    <definedName name="OSRRefD21_4x_4" localSheetId="45">'205'!$H$44:$H$46</definedName>
    <definedName name="OSRRefD21_4x_4" localSheetId="46">'206'!$H$45</definedName>
    <definedName name="OSRRefD21_4x_4" localSheetId="48">'300'!$H$79</definedName>
    <definedName name="OSRRefD21_4x_4" localSheetId="49">'300 &amp; 317'!$H$85</definedName>
    <definedName name="OSRRefD21_4x_4" localSheetId="50">'301'!$H$46</definedName>
    <definedName name="OSRRefD21_4x_4" localSheetId="52">'307'!$H$57</definedName>
    <definedName name="OSRRefD21_4x_4" localSheetId="53">'308'!$H$60</definedName>
    <definedName name="OSRRefD21_4x_4" localSheetId="64">'309'!$H$27:$H$28</definedName>
    <definedName name="OSRRefD21_4x_4" localSheetId="63">'310'!$H$51</definedName>
    <definedName name="OSRRefD21_4x_4" localSheetId="71">'310 &amp; 491'!$H$53</definedName>
    <definedName name="OSRRefD21_4x_4" localSheetId="54">'311'!$H$60</definedName>
    <definedName name="OSRRefD21_4x_4" localSheetId="57">'315'!$H$68</definedName>
    <definedName name="OSRRefD21_4x_4" localSheetId="60">'316'!$H$51</definedName>
    <definedName name="OSRRefD21_4x_4" localSheetId="62">'317'!$H$60</definedName>
    <definedName name="OSRRefD21_4x_4" localSheetId="66">'321'!$H$48</definedName>
    <definedName name="OSRRefD21_4x_4" localSheetId="68">'325'!$H$49</definedName>
    <definedName name="OSRRefD21_4x_4" localSheetId="58">'326'!$H$52</definedName>
    <definedName name="OSRRefD21_4x_4" localSheetId="51">'330'!$H$57</definedName>
    <definedName name="OSRRefD21_4x_4" localSheetId="56">'331'!$H$68</definedName>
    <definedName name="OSRRefD21_4x_4" localSheetId="59">'332'!$H$51</definedName>
    <definedName name="OSRRefD21_4x_4" localSheetId="73">'405'!$H$51</definedName>
    <definedName name="OSRRefD21_4x_4" localSheetId="75">'411'!$H$45</definedName>
    <definedName name="OSRRefD21_4x_4" localSheetId="79">'415'!$H$51</definedName>
    <definedName name="OSRRefD21_4x_4" localSheetId="80">'418'!$H$48:$H$49</definedName>
    <definedName name="OSRRefD21_4x_4" localSheetId="81">'423'!$H$43</definedName>
    <definedName name="OSRRefD21_4x_4" localSheetId="84">'425'!$H$29</definedName>
    <definedName name="OSRRefD21_4x_4" localSheetId="86">'430'!$H$44</definedName>
    <definedName name="OSRRefD21_4x_4" localSheetId="87">'433'!$H$52</definedName>
    <definedName name="OSRRefD21_4x_4" localSheetId="88">'444'!$H$52</definedName>
    <definedName name="OSRRefD21_4x_4" localSheetId="89">'450'!$H$52</definedName>
    <definedName name="OSRRefD21_4x_4" localSheetId="72">'491'!$H$52</definedName>
    <definedName name="OSRRefD21_4x_4" localSheetId="85">'492'!$H$52</definedName>
    <definedName name="OSRRefD21_4x_4" localSheetId="91">'501'!$H$46</definedName>
    <definedName name="OSRRefD21_4x_4" localSheetId="39">'Div 2'!$H$46</definedName>
    <definedName name="OSRRefD21_4x_4" localSheetId="47">'Div 3'!$H$83</definedName>
    <definedName name="OSRRefD21_4x_4" localSheetId="70">'Div 4'!$H$54</definedName>
    <definedName name="OSRRefD21_4x_4" localSheetId="90">'Div 5'!$H$46</definedName>
    <definedName name="OSRRefD21_4x_4" localSheetId="61">'Div 6'!$H$60</definedName>
    <definedName name="OSRRefD21_4x_4" localSheetId="2">Summary!$H$91</definedName>
    <definedName name="OSRRefD21_4x_5" localSheetId="41">'201'!$I$44</definedName>
    <definedName name="OSRRefD21_4x_5" localSheetId="42">'202'!$I$44</definedName>
    <definedName name="OSRRefD21_4x_5" localSheetId="43">'203'!$I$45</definedName>
    <definedName name="OSRRefD21_4x_5" localSheetId="44">'204'!$I$45:$I$48</definedName>
    <definedName name="OSRRefD21_4x_5" localSheetId="45">'205'!$I$44:$I$46</definedName>
    <definedName name="OSRRefD21_4x_5" localSheetId="46">'206'!$I$45</definedName>
    <definedName name="OSRRefD21_4x_5" localSheetId="48">'300'!$I$79</definedName>
    <definedName name="OSRRefD21_4x_5" localSheetId="49">'300 &amp; 317'!$I$85</definedName>
    <definedName name="OSRRefD21_4x_5" localSheetId="50">'301'!$I$46</definedName>
    <definedName name="OSRRefD21_4x_5" localSheetId="52">'307'!$I$57</definedName>
    <definedName name="OSRRefD21_4x_5" localSheetId="53">'308'!$I$60</definedName>
    <definedName name="OSRRefD21_4x_5" localSheetId="64">'309'!$I$27:$I$28</definedName>
    <definedName name="OSRRefD21_4x_5" localSheetId="63">'310'!$I$51</definedName>
    <definedName name="OSRRefD21_4x_5" localSheetId="71">'310 &amp; 491'!$I$53</definedName>
    <definedName name="OSRRefD21_4x_5" localSheetId="54">'311'!$I$60</definedName>
    <definedName name="OSRRefD21_4x_5" localSheetId="57">'315'!$I$68</definedName>
    <definedName name="OSRRefD21_4x_5" localSheetId="60">'316'!$I$51</definedName>
    <definedName name="OSRRefD21_4x_5" localSheetId="62">'317'!$I$60</definedName>
    <definedName name="OSRRefD21_4x_5" localSheetId="66">'321'!$I$48</definedName>
    <definedName name="OSRRefD21_4x_5" localSheetId="68">'325'!$I$49</definedName>
    <definedName name="OSRRefD21_4x_5" localSheetId="58">'326'!$I$52</definedName>
    <definedName name="OSRRefD21_4x_5" localSheetId="51">'330'!$I$57</definedName>
    <definedName name="OSRRefD21_4x_5" localSheetId="56">'331'!$I$68</definedName>
    <definedName name="OSRRefD21_4x_5" localSheetId="59">'332'!$I$51</definedName>
    <definedName name="OSRRefD21_4x_5" localSheetId="73">'405'!$I$51</definedName>
    <definedName name="OSRRefD21_4x_5" localSheetId="75">'411'!$I$45</definedName>
    <definedName name="OSRRefD21_4x_5" localSheetId="79">'415'!$I$51</definedName>
    <definedName name="OSRRefD21_4x_5" localSheetId="80">'418'!$I$48:$I$49</definedName>
    <definedName name="OSRRefD21_4x_5" localSheetId="81">'423'!$I$43</definedName>
    <definedName name="OSRRefD21_4x_5" localSheetId="84">'425'!$I$29</definedName>
    <definedName name="OSRRefD21_4x_5" localSheetId="86">'430'!$I$44</definedName>
    <definedName name="OSRRefD21_4x_5" localSheetId="87">'433'!$I$52</definedName>
    <definedName name="OSRRefD21_4x_5" localSheetId="88">'444'!$I$52</definedName>
    <definedName name="OSRRefD21_4x_5" localSheetId="89">'450'!$I$52</definedName>
    <definedName name="OSRRefD21_4x_5" localSheetId="72">'491'!$I$52</definedName>
    <definedName name="OSRRefD21_4x_5" localSheetId="85">'492'!$I$52</definedName>
    <definedName name="OSRRefD21_4x_5" localSheetId="91">'501'!$I$46</definedName>
    <definedName name="OSRRefD21_4x_5" localSheetId="39">'Div 2'!$I$46</definedName>
    <definedName name="OSRRefD21_4x_5" localSheetId="47">'Div 3'!$I$83</definedName>
    <definedName name="OSRRefD21_4x_5" localSheetId="70">'Div 4'!$I$54</definedName>
    <definedName name="OSRRefD21_4x_5" localSheetId="90">'Div 5'!$I$46</definedName>
    <definedName name="OSRRefD21_4x_5" localSheetId="61">'Div 6'!$I$60</definedName>
    <definedName name="OSRRefD21_4x_5" localSheetId="2">Summary!$I$91</definedName>
    <definedName name="OSRRefD21_5_0x" localSheetId="41">'201'!$D$46:$I$46</definedName>
    <definedName name="OSRRefD21_5_0x" localSheetId="42">'202'!$D$46:$I$46</definedName>
    <definedName name="OSRRefD21_5_0x" localSheetId="43">'203'!$D$47:$I$47</definedName>
    <definedName name="OSRRefD21_5_0x" localSheetId="44">'204'!$D$50:$I$50</definedName>
    <definedName name="OSRRefD21_5_0x" localSheetId="45">'205'!$D$48:$I$48</definedName>
    <definedName name="OSRRefD21_5_0x" localSheetId="46">'206'!$D$47:$I$47</definedName>
    <definedName name="OSRRefD21_5_0x" localSheetId="48">'300'!$D$81:$I$81</definedName>
    <definedName name="OSRRefD21_5_0x" localSheetId="49">'300 &amp; 317'!$D$87:$I$87</definedName>
    <definedName name="OSRRefD21_5_0x" localSheetId="50">'301'!$D$48:$I$48</definedName>
    <definedName name="OSRRefD21_5_0x" localSheetId="52">'307'!$D$59:$I$59</definedName>
    <definedName name="OSRRefD21_5_0x" localSheetId="53">'308'!$D$62:$I$62</definedName>
    <definedName name="OSRRefD21_5_0x" localSheetId="64">'309'!$D$30:$I$30</definedName>
    <definedName name="OSRRefD21_5_0x" localSheetId="63">'310'!$D$53:$I$53</definedName>
    <definedName name="OSRRefD21_5_0x" localSheetId="71">'310 &amp; 491'!$D$55:$I$55</definedName>
    <definedName name="OSRRefD21_5_0x" localSheetId="54">'311'!$D$62:$I$62</definedName>
    <definedName name="OSRRefD21_5_0x" localSheetId="57">'315'!$D$70:$I$70</definedName>
    <definedName name="OSRRefD21_5_0x" localSheetId="60">'316'!$D$53:$I$53</definedName>
    <definedName name="OSRRefD21_5_0x" localSheetId="62">'317'!$D$62:$I$62</definedName>
    <definedName name="OSRRefD21_5_0x" localSheetId="66">'321'!$D$50:$I$50</definedName>
    <definedName name="OSRRefD21_5_0x" localSheetId="68">'325'!$D$51:$I$51</definedName>
    <definedName name="OSRRefD21_5_0x" localSheetId="58">'326'!$D$54:$I$54</definedName>
    <definedName name="OSRRefD21_5_0x" localSheetId="51">'330'!$D$59:$I$59</definedName>
    <definedName name="OSRRefD21_5_0x" localSheetId="56">'331'!$D$70:$I$70</definedName>
    <definedName name="OSRRefD21_5_0x" localSheetId="59">'332'!$D$53:$I$53</definedName>
    <definedName name="OSRRefD21_5_0x" localSheetId="73">'405'!$D$53:$I$53</definedName>
    <definedName name="OSRRefD21_5_0x" localSheetId="75">'411'!$D$47:$I$47</definedName>
    <definedName name="OSRRefD21_5_0x" localSheetId="79">'415'!$D$53:$I$53</definedName>
    <definedName name="OSRRefD21_5_0x" localSheetId="80">'418'!$D$51:$I$51</definedName>
    <definedName name="OSRRefD21_5_0x" localSheetId="86">'430'!$D$46:$I$46</definedName>
    <definedName name="OSRRefD21_5_0x" localSheetId="87">'433'!$D$54:$I$54</definedName>
    <definedName name="OSRRefD21_5_0x" localSheetId="88">'444'!$D$54:$I$54</definedName>
    <definedName name="OSRRefD21_5_0x" localSheetId="89">'450'!$D$54:$I$54</definedName>
    <definedName name="OSRRefD21_5_0x" localSheetId="72">'491'!$D$54:$I$54</definedName>
    <definedName name="OSRRefD21_5_0x" localSheetId="85">'492'!$D$54:$I$54</definedName>
    <definedName name="OSRRefD21_5_0x" localSheetId="91">'501'!$D$48:$I$48</definedName>
    <definedName name="OSRRefD21_5_0x" localSheetId="39">'Div 2'!$D$48:$I$48</definedName>
    <definedName name="OSRRefD21_5_0x" localSheetId="47">'Div 3'!$D$85:$I$85</definedName>
    <definedName name="OSRRefD21_5_0x" localSheetId="70">'Div 4'!$D$56:$I$56</definedName>
    <definedName name="OSRRefD21_5_0x" localSheetId="90">'Div 5'!$D$48:$I$48</definedName>
    <definedName name="OSRRefD21_5_0x" localSheetId="61">'Div 6'!$D$62:$I$62</definedName>
    <definedName name="OSRRefD21_5_0x" localSheetId="2">Summary!$D$93:$I$93</definedName>
    <definedName name="OSRRefD21_5_1x" localSheetId="46">'206'!$D$48:$I$48</definedName>
    <definedName name="OSRRefD21_5_1x" localSheetId="48">'300'!$D$82:$I$82</definedName>
    <definedName name="OSRRefD21_5_1x" localSheetId="49">'300 &amp; 317'!$D$88:$I$88</definedName>
    <definedName name="OSRRefD21_5_1x" localSheetId="50">'301'!$D$49:$I$49</definedName>
    <definedName name="OSRRefD21_5_1x" localSheetId="63">'310'!$D$54:$I$54</definedName>
    <definedName name="OSRRefD21_5_1x" localSheetId="71">'310 &amp; 491'!$D$56:$I$56</definedName>
    <definedName name="OSRRefD21_5_1x" localSheetId="60">'316'!$D$54:$I$54</definedName>
    <definedName name="OSRRefD21_5_1x" localSheetId="68">'325'!$D$52:$I$52</definedName>
    <definedName name="OSRRefD21_5_1x" localSheetId="59">'332'!$D$54:$I$54</definedName>
    <definedName name="OSRRefD21_5_1x" localSheetId="73">'405'!$D$54:$I$54</definedName>
    <definedName name="OSRRefD21_5_1x" localSheetId="79">'415'!$D$54:$I$54</definedName>
    <definedName name="OSRRefD21_5_1x" localSheetId="86">'430'!$D$47:$I$47</definedName>
    <definedName name="OSRRefD21_5_1x" localSheetId="72">'491'!$D$55:$I$55</definedName>
    <definedName name="OSRRefD21_5_1x" localSheetId="91">'501'!$D$49:$I$49</definedName>
    <definedName name="OSRRefD21_5_1x" localSheetId="39">'Div 2'!$D$49:$I$49</definedName>
    <definedName name="OSRRefD21_5_1x" localSheetId="47">'Div 3'!$D$86:$I$86</definedName>
    <definedName name="OSRRefD21_5_1x" localSheetId="70">'Div 4'!$D$57:$I$57</definedName>
    <definedName name="OSRRefD21_5_1x" localSheetId="90">'Div 5'!$D$49:$I$49</definedName>
    <definedName name="OSRRefD21_5_1x" localSheetId="2">Summary!$D$94:$I$94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2">'307'!$D$59</definedName>
    <definedName name="OSRRefD21_5x_0" localSheetId="53">'308'!$D$62</definedName>
    <definedName name="OSRRefD21_5x_0" localSheetId="64">'309'!$D$30</definedName>
    <definedName name="OSRRefD21_5x_0" localSheetId="63">'310'!$D$53:$D$54</definedName>
    <definedName name="OSRRefD21_5x_0" localSheetId="71">'310 &amp; 491'!$D$55:$D$56</definedName>
    <definedName name="OSRRefD21_5x_0" localSheetId="54">'311'!$D$62</definedName>
    <definedName name="OSRRefD21_5x_0" localSheetId="57">'315'!$D$70</definedName>
    <definedName name="OSRRefD21_5x_0" localSheetId="60">'316'!$D$53:$D$54</definedName>
    <definedName name="OSRRefD21_5x_0" localSheetId="62">'317'!$D$62</definedName>
    <definedName name="OSRRefD21_5x_0" localSheetId="66">'321'!$D$50</definedName>
    <definedName name="OSRRefD21_5x_0" localSheetId="68">'325'!$D$51:$D$52</definedName>
    <definedName name="OSRRefD21_5x_0" localSheetId="58">'326'!$D$54</definedName>
    <definedName name="OSRRefD21_5x_0" localSheetId="51">'330'!$D$59</definedName>
    <definedName name="OSRRefD21_5x_0" localSheetId="56">'331'!$D$70</definedName>
    <definedName name="OSRRefD21_5x_0" localSheetId="59">'332'!$D$53:$D$54</definedName>
    <definedName name="OSRRefD21_5x_0" localSheetId="73">'405'!$D$53:$D$54</definedName>
    <definedName name="OSRRefD21_5x_0" localSheetId="75">'411'!$D$47</definedName>
    <definedName name="OSRRefD21_5x_0" localSheetId="79">'415'!$D$53:$D$54</definedName>
    <definedName name="OSRRefD21_5x_0" localSheetId="80">'418'!$D$51</definedName>
    <definedName name="OSRRefD21_5x_0" localSheetId="86">'430'!$D$46:$D$47</definedName>
    <definedName name="OSRRefD21_5x_0" localSheetId="87">'433'!$D$54</definedName>
    <definedName name="OSRRefD21_5x_0" localSheetId="88">'444'!$D$54</definedName>
    <definedName name="OSRRefD21_5x_0" localSheetId="89">'450'!$D$54</definedName>
    <definedName name="OSRRefD21_5x_0" localSheetId="72">'491'!$D$54:$D$55</definedName>
    <definedName name="OSRRefD21_5x_0" localSheetId="85">'492'!$D$54</definedName>
    <definedName name="OSRRefD21_5x_0" localSheetId="91">'501'!$D$48:$D$49</definedName>
    <definedName name="OSRRefD21_5x_0" localSheetId="39">'Div 2'!$D$48:$D$49</definedName>
    <definedName name="OSRRefD21_5x_0" localSheetId="47">'Div 3'!$D$85:$D$86</definedName>
    <definedName name="OSRRefD21_5x_0" localSheetId="70">'Div 4'!$D$56:$D$57</definedName>
    <definedName name="OSRRefD21_5x_0" localSheetId="90">'Div 5'!$D$48:$D$49</definedName>
    <definedName name="OSRRefD21_5x_0" localSheetId="61">'Div 6'!$D$62</definedName>
    <definedName name="OSRRefD21_5x_0" localSheetId="2">Summary!$D$93:$D$94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2">'307'!$E$59</definedName>
    <definedName name="OSRRefD21_5x_1" localSheetId="53">'308'!$E$62</definedName>
    <definedName name="OSRRefD21_5x_1" localSheetId="64">'309'!$E$30</definedName>
    <definedName name="OSRRefD21_5x_1" localSheetId="63">'310'!$E$53:$E$54</definedName>
    <definedName name="OSRRefD21_5x_1" localSheetId="71">'310 &amp; 491'!$E$55:$E$56</definedName>
    <definedName name="OSRRefD21_5x_1" localSheetId="54">'311'!$E$62</definedName>
    <definedName name="OSRRefD21_5x_1" localSheetId="57">'315'!$E$70</definedName>
    <definedName name="OSRRefD21_5x_1" localSheetId="60">'316'!$E$53:$E$54</definedName>
    <definedName name="OSRRefD21_5x_1" localSheetId="62">'317'!$E$62</definedName>
    <definedName name="OSRRefD21_5x_1" localSheetId="66">'321'!$E$50</definedName>
    <definedName name="OSRRefD21_5x_1" localSheetId="68">'325'!$E$51:$E$52</definedName>
    <definedName name="OSRRefD21_5x_1" localSheetId="58">'326'!$E$54</definedName>
    <definedName name="OSRRefD21_5x_1" localSheetId="51">'330'!$E$59</definedName>
    <definedName name="OSRRefD21_5x_1" localSheetId="56">'331'!$E$70</definedName>
    <definedName name="OSRRefD21_5x_1" localSheetId="59">'332'!$E$53:$E$54</definedName>
    <definedName name="OSRRefD21_5x_1" localSheetId="73">'405'!$E$53:$E$54</definedName>
    <definedName name="OSRRefD21_5x_1" localSheetId="75">'411'!$E$47</definedName>
    <definedName name="OSRRefD21_5x_1" localSheetId="79">'415'!$E$53:$E$54</definedName>
    <definedName name="OSRRefD21_5x_1" localSheetId="80">'418'!$E$51</definedName>
    <definedName name="OSRRefD21_5x_1" localSheetId="86">'430'!$E$46:$E$47</definedName>
    <definedName name="OSRRefD21_5x_1" localSheetId="87">'433'!$E$54</definedName>
    <definedName name="OSRRefD21_5x_1" localSheetId="88">'444'!$E$54</definedName>
    <definedName name="OSRRefD21_5x_1" localSheetId="89">'450'!$E$54</definedName>
    <definedName name="OSRRefD21_5x_1" localSheetId="72">'491'!$E$54:$E$55</definedName>
    <definedName name="OSRRefD21_5x_1" localSheetId="85">'492'!$E$54</definedName>
    <definedName name="OSRRefD21_5x_1" localSheetId="91">'501'!$E$48:$E$49</definedName>
    <definedName name="OSRRefD21_5x_1" localSheetId="39">'Div 2'!$E$48:$E$49</definedName>
    <definedName name="OSRRefD21_5x_1" localSheetId="47">'Div 3'!$E$85:$E$86</definedName>
    <definedName name="OSRRefD21_5x_1" localSheetId="70">'Div 4'!$E$56:$E$57</definedName>
    <definedName name="OSRRefD21_5x_1" localSheetId="90">'Div 5'!$E$48:$E$49</definedName>
    <definedName name="OSRRefD21_5x_1" localSheetId="61">'Div 6'!$E$62</definedName>
    <definedName name="OSRRefD21_5x_1" localSheetId="2">Summary!$E$93:$E$94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2">'307'!$F$59</definedName>
    <definedName name="OSRRefD21_5x_2" localSheetId="53">'308'!$F$62</definedName>
    <definedName name="OSRRefD21_5x_2" localSheetId="64">'309'!$F$30</definedName>
    <definedName name="OSRRefD21_5x_2" localSheetId="63">'310'!$F$53:$F$54</definedName>
    <definedName name="OSRRefD21_5x_2" localSheetId="71">'310 &amp; 491'!$F$55:$F$56</definedName>
    <definedName name="OSRRefD21_5x_2" localSheetId="54">'311'!$F$62</definedName>
    <definedName name="OSRRefD21_5x_2" localSheetId="57">'315'!$F$70</definedName>
    <definedName name="OSRRefD21_5x_2" localSheetId="60">'316'!$F$53:$F$54</definedName>
    <definedName name="OSRRefD21_5x_2" localSheetId="62">'317'!$F$62</definedName>
    <definedName name="OSRRefD21_5x_2" localSheetId="66">'321'!$F$50</definedName>
    <definedName name="OSRRefD21_5x_2" localSheetId="68">'325'!$F$51:$F$52</definedName>
    <definedName name="OSRRefD21_5x_2" localSheetId="58">'326'!$F$54</definedName>
    <definedName name="OSRRefD21_5x_2" localSheetId="51">'330'!$F$59</definedName>
    <definedName name="OSRRefD21_5x_2" localSheetId="56">'331'!$F$70</definedName>
    <definedName name="OSRRefD21_5x_2" localSheetId="59">'332'!$F$53:$F$54</definedName>
    <definedName name="OSRRefD21_5x_2" localSheetId="73">'405'!$F$53:$F$54</definedName>
    <definedName name="OSRRefD21_5x_2" localSheetId="75">'411'!$F$47</definedName>
    <definedName name="OSRRefD21_5x_2" localSheetId="79">'415'!$F$53:$F$54</definedName>
    <definedName name="OSRRefD21_5x_2" localSheetId="80">'418'!$F$51</definedName>
    <definedName name="OSRRefD21_5x_2" localSheetId="86">'430'!$F$46:$F$47</definedName>
    <definedName name="OSRRefD21_5x_2" localSheetId="87">'433'!$F$54</definedName>
    <definedName name="OSRRefD21_5x_2" localSheetId="88">'444'!$F$54</definedName>
    <definedName name="OSRRefD21_5x_2" localSheetId="89">'450'!$F$54</definedName>
    <definedName name="OSRRefD21_5x_2" localSheetId="72">'491'!$F$54:$F$55</definedName>
    <definedName name="OSRRefD21_5x_2" localSheetId="85">'492'!$F$54</definedName>
    <definedName name="OSRRefD21_5x_2" localSheetId="91">'501'!$F$48:$F$49</definedName>
    <definedName name="OSRRefD21_5x_2" localSheetId="39">'Div 2'!$F$48:$F$49</definedName>
    <definedName name="OSRRefD21_5x_2" localSheetId="47">'Div 3'!$F$85:$F$86</definedName>
    <definedName name="OSRRefD21_5x_2" localSheetId="70">'Div 4'!$F$56:$F$57</definedName>
    <definedName name="OSRRefD21_5x_2" localSheetId="90">'Div 5'!$F$48:$F$49</definedName>
    <definedName name="OSRRefD21_5x_2" localSheetId="61">'Div 6'!$F$62</definedName>
    <definedName name="OSRRefD21_5x_2" localSheetId="2">Summary!$F$93:$F$94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'204'!$G$50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2">'307'!$G$59</definedName>
    <definedName name="OSRRefD21_5x_3" localSheetId="53">'308'!$G$62</definedName>
    <definedName name="OSRRefD21_5x_3" localSheetId="64">'309'!$G$30</definedName>
    <definedName name="OSRRefD21_5x_3" localSheetId="63">'310'!$G$53:$G$54</definedName>
    <definedName name="OSRRefD21_5x_3" localSheetId="71">'310 &amp; 491'!$G$55:$G$56</definedName>
    <definedName name="OSRRefD21_5x_3" localSheetId="54">'311'!$G$62</definedName>
    <definedName name="OSRRefD21_5x_3" localSheetId="57">'315'!$G$70</definedName>
    <definedName name="OSRRefD21_5x_3" localSheetId="60">'316'!$G$53:$G$54</definedName>
    <definedName name="OSRRefD21_5x_3" localSheetId="62">'317'!$G$62</definedName>
    <definedName name="OSRRefD21_5x_3" localSheetId="66">'321'!$G$50</definedName>
    <definedName name="OSRRefD21_5x_3" localSheetId="68">'325'!$G$51:$G$52</definedName>
    <definedName name="OSRRefD21_5x_3" localSheetId="58">'326'!$G$54</definedName>
    <definedName name="OSRRefD21_5x_3" localSheetId="51">'330'!$G$59</definedName>
    <definedName name="OSRRefD21_5x_3" localSheetId="56">'331'!$G$70</definedName>
    <definedName name="OSRRefD21_5x_3" localSheetId="59">'332'!$G$53:$G$54</definedName>
    <definedName name="OSRRefD21_5x_3" localSheetId="73">'405'!$G$53:$G$54</definedName>
    <definedName name="OSRRefD21_5x_3" localSheetId="75">'411'!$G$47</definedName>
    <definedName name="OSRRefD21_5x_3" localSheetId="79">'415'!$G$53:$G$54</definedName>
    <definedName name="OSRRefD21_5x_3" localSheetId="80">'418'!$G$51</definedName>
    <definedName name="OSRRefD21_5x_3" localSheetId="86">'430'!$G$46:$G$47</definedName>
    <definedName name="OSRRefD21_5x_3" localSheetId="87">'433'!$G$54</definedName>
    <definedName name="OSRRefD21_5x_3" localSheetId="88">'444'!$G$54</definedName>
    <definedName name="OSRRefD21_5x_3" localSheetId="89">'450'!$G$54</definedName>
    <definedName name="OSRRefD21_5x_3" localSheetId="72">'491'!$G$54:$G$55</definedName>
    <definedName name="OSRRefD21_5x_3" localSheetId="85">'492'!$G$54</definedName>
    <definedName name="OSRRefD21_5x_3" localSheetId="91">'501'!$G$48:$G$49</definedName>
    <definedName name="OSRRefD21_5x_3" localSheetId="39">'Div 2'!$G$48:$G$49</definedName>
    <definedName name="OSRRefD21_5x_3" localSheetId="47">'Div 3'!$G$85:$G$86</definedName>
    <definedName name="OSRRefD21_5x_3" localSheetId="70">'Div 4'!$G$56:$G$57</definedName>
    <definedName name="OSRRefD21_5x_3" localSheetId="90">'Div 5'!$G$48:$G$49</definedName>
    <definedName name="OSRRefD21_5x_3" localSheetId="61">'Div 6'!$G$62</definedName>
    <definedName name="OSRRefD21_5x_3" localSheetId="2">Summary!$G$93:$G$94</definedName>
    <definedName name="OSRRefD21_5x_4" localSheetId="41">'201'!$H$46</definedName>
    <definedName name="OSRRefD21_5x_4" localSheetId="42">'202'!$H$46</definedName>
    <definedName name="OSRRefD21_5x_4" localSheetId="43">'203'!$H$47</definedName>
    <definedName name="OSRRefD21_5x_4" localSheetId="44">'204'!$H$50</definedName>
    <definedName name="OSRRefD21_5x_4" localSheetId="45">'205'!$H$48</definedName>
    <definedName name="OSRRefD21_5x_4" localSheetId="46">'206'!$H$47:$H$48</definedName>
    <definedName name="OSRRefD21_5x_4" localSheetId="48">'300'!$H$81:$H$82</definedName>
    <definedName name="OSRRefD21_5x_4" localSheetId="49">'300 &amp; 317'!$H$87:$H$88</definedName>
    <definedName name="OSRRefD21_5x_4" localSheetId="50">'301'!$H$48:$H$49</definedName>
    <definedName name="OSRRefD21_5x_4" localSheetId="52">'307'!$H$59</definedName>
    <definedName name="OSRRefD21_5x_4" localSheetId="53">'308'!$H$62</definedName>
    <definedName name="OSRRefD21_5x_4" localSheetId="64">'309'!$H$30</definedName>
    <definedName name="OSRRefD21_5x_4" localSheetId="63">'310'!$H$53:$H$54</definedName>
    <definedName name="OSRRefD21_5x_4" localSheetId="71">'310 &amp; 491'!$H$55:$H$56</definedName>
    <definedName name="OSRRefD21_5x_4" localSheetId="54">'311'!$H$62</definedName>
    <definedName name="OSRRefD21_5x_4" localSheetId="57">'315'!$H$70</definedName>
    <definedName name="OSRRefD21_5x_4" localSheetId="60">'316'!$H$53:$H$54</definedName>
    <definedName name="OSRRefD21_5x_4" localSheetId="62">'317'!$H$62</definedName>
    <definedName name="OSRRefD21_5x_4" localSheetId="66">'321'!$H$50</definedName>
    <definedName name="OSRRefD21_5x_4" localSheetId="68">'325'!$H$51:$H$52</definedName>
    <definedName name="OSRRefD21_5x_4" localSheetId="58">'326'!$H$54</definedName>
    <definedName name="OSRRefD21_5x_4" localSheetId="51">'330'!$H$59</definedName>
    <definedName name="OSRRefD21_5x_4" localSheetId="56">'331'!$H$70</definedName>
    <definedName name="OSRRefD21_5x_4" localSheetId="59">'332'!$H$53:$H$54</definedName>
    <definedName name="OSRRefD21_5x_4" localSheetId="73">'405'!$H$53:$H$54</definedName>
    <definedName name="OSRRefD21_5x_4" localSheetId="75">'411'!$H$47</definedName>
    <definedName name="OSRRefD21_5x_4" localSheetId="79">'415'!$H$53:$H$54</definedName>
    <definedName name="OSRRefD21_5x_4" localSheetId="80">'418'!$H$51</definedName>
    <definedName name="OSRRefD21_5x_4" localSheetId="86">'430'!$H$46:$H$47</definedName>
    <definedName name="OSRRefD21_5x_4" localSheetId="87">'433'!$H$54</definedName>
    <definedName name="OSRRefD21_5x_4" localSheetId="88">'444'!$H$54</definedName>
    <definedName name="OSRRefD21_5x_4" localSheetId="89">'450'!$H$54</definedName>
    <definedName name="OSRRefD21_5x_4" localSheetId="72">'491'!$H$54:$H$55</definedName>
    <definedName name="OSRRefD21_5x_4" localSheetId="85">'492'!$H$54</definedName>
    <definedName name="OSRRefD21_5x_4" localSheetId="91">'501'!$H$48:$H$49</definedName>
    <definedName name="OSRRefD21_5x_4" localSheetId="39">'Div 2'!$H$48:$H$49</definedName>
    <definedName name="OSRRefD21_5x_4" localSheetId="47">'Div 3'!$H$85:$H$86</definedName>
    <definedName name="OSRRefD21_5x_4" localSheetId="70">'Div 4'!$H$56:$H$57</definedName>
    <definedName name="OSRRefD21_5x_4" localSheetId="90">'Div 5'!$H$48:$H$49</definedName>
    <definedName name="OSRRefD21_5x_4" localSheetId="61">'Div 6'!$H$62</definedName>
    <definedName name="OSRRefD21_5x_4" localSheetId="2">Summary!$H$93:$H$94</definedName>
    <definedName name="OSRRefD21_5x_5" localSheetId="41">'201'!$I$46</definedName>
    <definedName name="OSRRefD21_5x_5" localSheetId="42">'202'!$I$46</definedName>
    <definedName name="OSRRefD21_5x_5" localSheetId="43">'203'!$I$47</definedName>
    <definedName name="OSRRefD21_5x_5" localSheetId="44">'204'!$I$50</definedName>
    <definedName name="OSRRefD21_5x_5" localSheetId="45">'205'!$I$48</definedName>
    <definedName name="OSRRefD21_5x_5" localSheetId="46">'206'!$I$47:$I$48</definedName>
    <definedName name="OSRRefD21_5x_5" localSheetId="48">'300'!$I$81:$I$82</definedName>
    <definedName name="OSRRefD21_5x_5" localSheetId="49">'300 &amp; 317'!$I$87:$I$88</definedName>
    <definedName name="OSRRefD21_5x_5" localSheetId="50">'301'!$I$48:$I$49</definedName>
    <definedName name="OSRRefD21_5x_5" localSheetId="52">'307'!$I$59</definedName>
    <definedName name="OSRRefD21_5x_5" localSheetId="53">'308'!$I$62</definedName>
    <definedName name="OSRRefD21_5x_5" localSheetId="64">'309'!$I$30</definedName>
    <definedName name="OSRRefD21_5x_5" localSheetId="63">'310'!$I$53:$I$54</definedName>
    <definedName name="OSRRefD21_5x_5" localSheetId="71">'310 &amp; 491'!$I$55:$I$56</definedName>
    <definedName name="OSRRefD21_5x_5" localSheetId="54">'311'!$I$62</definedName>
    <definedName name="OSRRefD21_5x_5" localSheetId="57">'315'!$I$70</definedName>
    <definedName name="OSRRefD21_5x_5" localSheetId="60">'316'!$I$53:$I$54</definedName>
    <definedName name="OSRRefD21_5x_5" localSheetId="62">'317'!$I$62</definedName>
    <definedName name="OSRRefD21_5x_5" localSheetId="66">'321'!$I$50</definedName>
    <definedName name="OSRRefD21_5x_5" localSheetId="68">'325'!$I$51:$I$52</definedName>
    <definedName name="OSRRefD21_5x_5" localSheetId="58">'326'!$I$54</definedName>
    <definedName name="OSRRefD21_5x_5" localSheetId="51">'330'!$I$59</definedName>
    <definedName name="OSRRefD21_5x_5" localSheetId="56">'331'!$I$70</definedName>
    <definedName name="OSRRefD21_5x_5" localSheetId="59">'332'!$I$53:$I$54</definedName>
    <definedName name="OSRRefD21_5x_5" localSheetId="73">'405'!$I$53:$I$54</definedName>
    <definedName name="OSRRefD21_5x_5" localSheetId="75">'411'!$I$47</definedName>
    <definedName name="OSRRefD21_5x_5" localSheetId="79">'415'!$I$53:$I$54</definedName>
    <definedName name="OSRRefD21_5x_5" localSheetId="80">'418'!$I$51</definedName>
    <definedName name="OSRRefD21_5x_5" localSheetId="86">'430'!$I$46:$I$47</definedName>
    <definedName name="OSRRefD21_5x_5" localSheetId="87">'433'!$I$54</definedName>
    <definedName name="OSRRefD21_5x_5" localSheetId="88">'444'!$I$54</definedName>
    <definedName name="OSRRefD21_5x_5" localSheetId="89">'450'!$I$54</definedName>
    <definedName name="OSRRefD21_5x_5" localSheetId="72">'491'!$I$54:$I$55</definedName>
    <definedName name="OSRRefD21_5x_5" localSheetId="85">'492'!$I$54</definedName>
    <definedName name="OSRRefD21_5x_5" localSheetId="91">'501'!$I$48:$I$49</definedName>
    <definedName name="OSRRefD21_5x_5" localSheetId="39">'Div 2'!$I$48:$I$49</definedName>
    <definedName name="OSRRefD21_5x_5" localSheetId="47">'Div 3'!$I$85:$I$86</definedName>
    <definedName name="OSRRefD21_5x_5" localSheetId="70">'Div 4'!$I$56:$I$57</definedName>
    <definedName name="OSRRefD21_5x_5" localSheetId="90">'Div 5'!$I$48:$I$49</definedName>
    <definedName name="OSRRefD21_5x_5" localSheetId="61">'Div 6'!$I$62</definedName>
    <definedName name="OSRRefD21_5x_5" localSheetId="2">Summary!$I$93:$I$94</definedName>
    <definedName name="OSRRefD21_6_0x" localSheetId="41">'201'!$D$48:$I$48</definedName>
    <definedName name="OSRRefD21_6_0x" localSheetId="42">'202'!$D$48:$I$48</definedName>
    <definedName name="OSRRefD21_6_0x" localSheetId="43">'203'!$D$49:$I$49</definedName>
    <definedName name="OSRRefD21_6_0x" localSheetId="44">'204'!$D$52:$I$52</definedName>
    <definedName name="OSRRefD21_6_0x" localSheetId="45">'205'!$D$50:$I$50</definedName>
    <definedName name="OSRRefD21_6_0x" localSheetId="48">'300'!$D$84:$I$84</definedName>
    <definedName name="OSRRefD21_6_0x" localSheetId="49">'300 &amp; 317'!$D$90:$I$90</definedName>
    <definedName name="OSRRefD21_6_0x" localSheetId="50">'301'!$D$51:$I$51</definedName>
    <definedName name="OSRRefD21_6_0x" localSheetId="52">'307'!$D$61:$I$61</definedName>
    <definedName name="OSRRefD21_6_0x" localSheetId="53">'308'!$D$64:$I$64</definedName>
    <definedName name="OSRRefD21_6_0x" localSheetId="64">'309'!$D$32:$I$32</definedName>
    <definedName name="OSRRefD21_6_0x" localSheetId="63">'310'!$D$56:$I$56</definedName>
    <definedName name="OSRRefD21_6_0x" localSheetId="71">'310 &amp; 491'!$D$58:$I$58</definedName>
    <definedName name="OSRRefD21_6_0x" localSheetId="54">'311'!$D$64:$I$64</definedName>
    <definedName name="OSRRefD21_6_0x" localSheetId="57">'315'!$D$72:$I$72</definedName>
    <definedName name="OSRRefD21_6_0x" localSheetId="60">'316'!$D$56:$I$56</definedName>
    <definedName name="OSRRefD21_6_0x" localSheetId="62">'317'!$D$64:$I$64</definedName>
    <definedName name="OSRRefD21_6_0x" localSheetId="66">'321'!$D$52:$I$52</definedName>
    <definedName name="OSRRefD21_6_0x" localSheetId="68">'325'!$D$54:$I$54</definedName>
    <definedName name="OSRRefD21_6_0x" localSheetId="58">'326'!$D$56:$I$56</definedName>
    <definedName name="OSRRefD21_6_0x" localSheetId="51">'330'!$D$61:$I$61</definedName>
    <definedName name="OSRRefD21_6_0x" localSheetId="56">'331'!$D$72:$I$72</definedName>
    <definedName name="OSRRefD21_6_0x" localSheetId="59">'332'!$D$56:$I$56</definedName>
    <definedName name="OSRRefD21_6_0x" localSheetId="73">'405'!$D$56:$I$56</definedName>
    <definedName name="OSRRefD21_6_0x" localSheetId="75">'411'!$D$49:$I$49</definedName>
    <definedName name="OSRRefD21_6_0x" localSheetId="79">'415'!$D$56:$I$56</definedName>
    <definedName name="OSRRefD21_6_0x" localSheetId="80">'418'!$D$53:$I$53</definedName>
    <definedName name="OSRRefD21_6_0x" localSheetId="86">'430'!$D$49:$I$49</definedName>
    <definedName name="OSRRefD21_6_0x" localSheetId="87">'433'!$D$56:$I$56</definedName>
    <definedName name="OSRRefD21_6_0x" localSheetId="88">'444'!$D$56:$I$56</definedName>
    <definedName name="OSRRefD21_6_0x" localSheetId="89">'450'!$D$56:$I$56</definedName>
    <definedName name="OSRRefD21_6_0x" localSheetId="72">'491'!$D$57:$I$57</definedName>
    <definedName name="OSRRefD21_6_0x" localSheetId="85">'492'!$D$56:$I$56</definedName>
    <definedName name="OSRRefD21_6_0x" localSheetId="91">'501'!$D$51:$I$51</definedName>
    <definedName name="OSRRefD21_6_0x" localSheetId="39">'Div 2'!$D$51:$I$51</definedName>
    <definedName name="OSRRefD21_6_0x" localSheetId="47">'Div 3'!$D$88:$I$88</definedName>
    <definedName name="OSRRefD21_6_0x" localSheetId="70">'Div 4'!$D$59:$I$59</definedName>
    <definedName name="OSRRefD21_6_0x" localSheetId="90">'Div 5'!$D$51:$I$51</definedName>
    <definedName name="OSRRefD21_6_0x" localSheetId="61">'Div 6'!$D$64:$I$64</definedName>
    <definedName name="OSRRefD21_6_0x" localSheetId="2">Summary!$D$96:$I$96</definedName>
    <definedName name="OSRRefD21_6_1x" localSheetId="45">'205'!$D$51:$I$51</definedName>
    <definedName name="OSRRefD21_6_1x" localSheetId="48">'300'!$D$85:$I$85</definedName>
    <definedName name="OSRRefD21_6_1x" localSheetId="49">'300 &amp; 317'!$D$91:$I$91</definedName>
    <definedName name="OSRRefD21_6_1x" localSheetId="50">'301'!$D$52:$I$52</definedName>
    <definedName name="OSRRefD21_6_1x" localSheetId="66">'321'!$D$53:$I$53</definedName>
    <definedName name="OSRRefD21_6_1x" localSheetId="86">'430'!$D$50:$I$50</definedName>
    <definedName name="OSRRefD21_6_1x" localSheetId="47">'Div 3'!$D$89:$I$89</definedName>
    <definedName name="OSRRefD21_6_1x" localSheetId="2">Summary!$D$97:$I$97</definedName>
    <definedName name="OSRRefD21_6x_0" localSheetId="41">'201'!$D$48</definedName>
    <definedName name="OSRRefD21_6x_0" localSheetId="42">'202'!$D$48</definedName>
    <definedName name="OSRRefD21_6x_0" localSheetId="43">'203'!$D$49</definedName>
    <definedName name="OSRRefD21_6x_0" localSheetId="44">'204'!$D$52</definedName>
    <definedName name="OSRRefD21_6x_0" localSheetId="45">'205'!$D$50:$D$51</definedName>
    <definedName name="OSRRefD21_6x_0" localSheetId="48">'300'!$D$84:$D$85</definedName>
    <definedName name="OSRRefD21_6x_0" localSheetId="49">'300 &amp; 317'!$D$90:$D$91</definedName>
    <definedName name="OSRRefD21_6x_0" localSheetId="50">'301'!$D$51:$D$52</definedName>
    <definedName name="OSRRefD21_6x_0" localSheetId="52">'307'!$D$61</definedName>
    <definedName name="OSRRefD21_6x_0" localSheetId="53">'308'!$D$64</definedName>
    <definedName name="OSRRefD21_6x_0" localSheetId="64">'309'!$D$32</definedName>
    <definedName name="OSRRefD21_6x_0" localSheetId="63">'310'!$D$56</definedName>
    <definedName name="OSRRefD21_6x_0" localSheetId="71">'310 &amp; 491'!$D$58</definedName>
    <definedName name="OSRRefD21_6x_0" localSheetId="54">'311'!$D$64</definedName>
    <definedName name="OSRRefD21_6x_0" localSheetId="57">'315'!$D$72</definedName>
    <definedName name="OSRRefD21_6x_0" localSheetId="60">'316'!$D$56</definedName>
    <definedName name="OSRRefD21_6x_0" localSheetId="62">'317'!$D$64</definedName>
    <definedName name="OSRRefD21_6x_0" localSheetId="66">'321'!$D$52:$D$53</definedName>
    <definedName name="OSRRefD21_6x_0" localSheetId="68">'325'!$D$54</definedName>
    <definedName name="OSRRefD21_6x_0" localSheetId="58">'326'!$D$56</definedName>
    <definedName name="OSRRefD21_6x_0" localSheetId="51">'330'!$D$61</definedName>
    <definedName name="OSRRefD21_6x_0" localSheetId="56">'331'!$D$72</definedName>
    <definedName name="OSRRefD21_6x_0" localSheetId="59">'332'!$D$56</definedName>
    <definedName name="OSRRefD21_6x_0" localSheetId="73">'405'!$D$56</definedName>
    <definedName name="OSRRefD21_6x_0" localSheetId="75">'411'!$D$49</definedName>
    <definedName name="OSRRefD21_6x_0" localSheetId="79">'415'!$D$56</definedName>
    <definedName name="OSRRefD21_6x_0" localSheetId="80">'418'!$D$53</definedName>
    <definedName name="OSRRefD21_6x_0" localSheetId="86">'430'!$D$49:$D$50</definedName>
    <definedName name="OSRRefD21_6x_0" localSheetId="87">'433'!$D$56</definedName>
    <definedName name="OSRRefD21_6x_0" localSheetId="88">'444'!$D$56</definedName>
    <definedName name="OSRRefD21_6x_0" localSheetId="89">'450'!$D$56</definedName>
    <definedName name="OSRRefD21_6x_0" localSheetId="72">'491'!$D$57</definedName>
    <definedName name="OSRRefD21_6x_0" localSheetId="85">'492'!$D$56</definedName>
    <definedName name="OSRRefD21_6x_0" localSheetId="91">'501'!$D$51</definedName>
    <definedName name="OSRRefD21_6x_0" localSheetId="39">'Div 2'!$D$51</definedName>
    <definedName name="OSRRefD21_6x_0" localSheetId="47">'Div 3'!$D$88:$D$89</definedName>
    <definedName name="OSRRefD21_6x_0" localSheetId="70">'Div 4'!$D$59</definedName>
    <definedName name="OSRRefD21_6x_0" localSheetId="90">'Div 5'!$D$51</definedName>
    <definedName name="OSRRefD21_6x_0" localSheetId="61">'Div 6'!$D$64</definedName>
    <definedName name="OSRRefD21_6x_0" localSheetId="2">Summary!$D$96:$D$97</definedName>
    <definedName name="OSRRefD21_6x_1" localSheetId="41">'201'!$E$48</definedName>
    <definedName name="OSRRefD21_6x_1" localSheetId="42">'202'!$E$48</definedName>
    <definedName name="OSRRefD21_6x_1" localSheetId="43">'203'!$E$49</definedName>
    <definedName name="OSRRefD21_6x_1" localSheetId="44">'204'!$E$52</definedName>
    <definedName name="OSRRefD21_6x_1" localSheetId="45">'205'!$E$50:$E$51</definedName>
    <definedName name="OSRRefD21_6x_1" localSheetId="48">'300'!$E$84:$E$85</definedName>
    <definedName name="OSRRefD21_6x_1" localSheetId="49">'300 &amp; 317'!$E$90:$E$91</definedName>
    <definedName name="OSRRefD21_6x_1" localSheetId="50">'301'!$E$51:$E$52</definedName>
    <definedName name="OSRRefD21_6x_1" localSheetId="52">'307'!$E$61</definedName>
    <definedName name="OSRRefD21_6x_1" localSheetId="53">'308'!$E$64</definedName>
    <definedName name="OSRRefD21_6x_1" localSheetId="64">'309'!$E$32</definedName>
    <definedName name="OSRRefD21_6x_1" localSheetId="63">'310'!$E$56</definedName>
    <definedName name="OSRRefD21_6x_1" localSheetId="71">'310 &amp; 491'!$E$58</definedName>
    <definedName name="OSRRefD21_6x_1" localSheetId="54">'311'!$E$64</definedName>
    <definedName name="OSRRefD21_6x_1" localSheetId="57">'315'!$E$72</definedName>
    <definedName name="OSRRefD21_6x_1" localSheetId="60">'316'!$E$56</definedName>
    <definedName name="OSRRefD21_6x_1" localSheetId="62">'317'!$E$64</definedName>
    <definedName name="OSRRefD21_6x_1" localSheetId="66">'321'!$E$52:$E$53</definedName>
    <definedName name="OSRRefD21_6x_1" localSheetId="68">'325'!$E$54</definedName>
    <definedName name="OSRRefD21_6x_1" localSheetId="58">'326'!$E$56</definedName>
    <definedName name="OSRRefD21_6x_1" localSheetId="51">'330'!$E$61</definedName>
    <definedName name="OSRRefD21_6x_1" localSheetId="56">'331'!$E$72</definedName>
    <definedName name="OSRRefD21_6x_1" localSheetId="59">'332'!$E$56</definedName>
    <definedName name="OSRRefD21_6x_1" localSheetId="73">'405'!$E$56</definedName>
    <definedName name="OSRRefD21_6x_1" localSheetId="75">'411'!$E$49</definedName>
    <definedName name="OSRRefD21_6x_1" localSheetId="79">'415'!$E$56</definedName>
    <definedName name="OSRRefD21_6x_1" localSheetId="80">'418'!$E$53</definedName>
    <definedName name="OSRRefD21_6x_1" localSheetId="86">'430'!$E$49:$E$50</definedName>
    <definedName name="OSRRefD21_6x_1" localSheetId="87">'433'!$E$56</definedName>
    <definedName name="OSRRefD21_6x_1" localSheetId="88">'444'!$E$56</definedName>
    <definedName name="OSRRefD21_6x_1" localSheetId="89">'450'!$E$56</definedName>
    <definedName name="OSRRefD21_6x_1" localSheetId="72">'491'!$E$57</definedName>
    <definedName name="OSRRefD21_6x_1" localSheetId="85">'492'!$E$56</definedName>
    <definedName name="OSRRefD21_6x_1" localSheetId="91">'501'!$E$51</definedName>
    <definedName name="OSRRefD21_6x_1" localSheetId="39">'Div 2'!$E$51</definedName>
    <definedName name="OSRRefD21_6x_1" localSheetId="47">'Div 3'!$E$88:$E$89</definedName>
    <definedName name="OSRRefD21_6x_1" localSheetId="70">'Div 4'!$E$59</definedName>
    <definedName name="OSRRefD21_6x_1" localSheetId="90">'Div 5'!$E$51</definedName>
    <definedName name="OSRRefD21_6x_1" localSheetId="61">'Div 6'!$E$64</definedName>
    <definedName name="OSRRefD21_6x_1" localSheetId="2">Summary!$E$96:$E$97</definedName>
    <definedName name="OSRRefD21_6x_2" localSheetId="41">'201'!$F$48</definedName>
    <definedName name="OSRRefD21_6x_2" localSheetId="42">'202'!$F$48</definedName>
    <definedName name="OSRRefD21_6x_2" localSheetId="43">'203'!$F$49</definedName>
    <definedName name="OSRRefD21_6x_2" localSheetId="44">'204'!$F$52</definedName>
    <definedName name="OSRRefD21_6x_2" localSheetId="45">'205'!$F$50:$F$51</definedName>
    <definedName name="OSRRefD21_6x_2" localSheetId="48">'300'!$F$84:$F$85</definedName>
    <definedName name="OSRRefD21_6x_2" localSheetId="49">'300 &amp; 317'!$F$90:$F$91</definedName>
    <definedName name="OSRRefD21_6x_2" localSheetId="50">'301'!$F$51:$F$52</definedName>
    <definedName name="OSRRefD21_6x_2" localSheetId="52">'307'!$F$61</definedName>
    <definedName name="OSRRefD21_6x_2" localSheetId="53">'308'!$F$64</definedName>
    <definedName name="OSRRefD21_6x_2" localSheetId="64">'309'!$F$32</definedName>
    <definedName name="OSRRefD21_6x_2" localSheetId="63">'310'!$F$56</definedName>
    <definedName name="OSRRefD21_6x_2" localSheetId="71">'310 &amp; 491'!$F$58</definedName>
    <definedName name="OSRRefD21_6x_2" localSheetId="54">'311'!$F$64</definedName>
    <definedName name="OSRRefD21_6x_2" localSheetId="57">'315'!$F$72</definedName>
    <definedName name="OSRRefD21_6x_2" localSheetId="60">'316'!$F$56</definedName>
    <definedName name="OSRRefD21_6x_2" localSheetId="62">'317'!$F$64</definedName>
    <definedName name="OSRRefD21_6x_2" localSheetId="66">'321'!$F$52:$F$53</definedName>
    <definedName name="OSRRefD21_6x_2" localSheetId="68">'325'!$F$54</definedName>
    <definedName name="OSRRefD21_6x_2" localSheetId="58">'326'!$F$56</definedName>
    <definedName name="OSRRefD21_6x_2" localSheetId="51">'330'!$F$61</definedName>
    <definedName name="OSRRefD21_6x_2" localSheetId="56">'331'!$F$72</definedName>
    <definedName name="OSRRefD21_6x_2" localSheetId="59">'332'!$F$56</definedName>
    <definedName name="OSRRefD21_6x_2" localSheetId="73">'405'!$F$56</definedName>
    <definedName name="OSRRefD21_6x_2" localSheetId="75">'411'!$F$49</definedName>
    <definedName name="OSRRefD21_6x_2" localSheetId="79">'415'!$F$56</definedName>
    <definedName name="OSRRefD21_6x_2" localSheetId="80">'418'!$F$53</definedName>
    <definedName name="OSRRefD21_6x_2" localSheetId="86">'430'!$F$49:$F$50</definedName>
    <definedName name="OSRRefD21_6x_2" localSheetId="87">'433'!$F$56</definedName>
    <definedName name="OSRRefD21_6x_2" localSheetId="88">'444'!$F$56</definedName>
    <definedName name="OSRRefD21_6x_2" localSheetId="89">'450'!$F$56</definedName>
    <definedName name="OSRRefD21_6x_2" localSheetId="72">'491'!$F$57</definedName>
    <definedName name="OSRRefD21_6x_2" localSheetId="85">'492'!$F$56</definedName>
    <definedName name="OSRRefD21_6x_2" localSheetId="91">'501'!$F$51</definedName>
    <definedName name="OSRRefD21_6x_2" localSheetId="39">'Div 2'!$F$51</definedName>
    <definedName name="OSRRefD21_6x_2" localSheetId="47">'Div 3'!$F$88:$F$89</definedName>
    <definedName name="OSRRefD21_6x_2" localSheetId="70">'Div 4'!$F$59</definedName>
    <definedName name="OSRRefD21_6x_2" localSheetId="90">'Div 5'!$F$51</definedName>
    <definedName name="OSRRefD21_6x_2" localSheetId="61">'Div 6'!$F$64</definedName>
    <definedName name="OSRRefD21_6x_2" localSheetId="2">Summary!$F$96:$F$97</definedName>
    <definedName name="OSRRefD21_6x_3" localSheetId="41">'201'!$G$48</definedName>
    <definedName name="OSRRefD21_6x_3" localSheetId="42">'202'!$G$48</definedName>
    <definedName name="OSRRefD21_6x_3" localSheetId="43">'203'!$G$49</definedName>
    <definedName name="OSRRefD21_6x_3" localSheetId="44">'204'!$G$52</definedName>
    <definedName name="OSRRefD21_6x_3" localSheetId="45">'205'!$G$50:$G$51</definedName>
    <definedName name="OSRRefD21_6x_3" localSheetId="48">'300'!$G$84:$G$85</definedName>
    <definedName name="OSRRefD21_6x_3" localSheetId="49">'300 &amp; 317'!$G$90:$G$91</definedName>
    <definedName name="OSRRefD21_6x_3" localSheetId="50">'301'!$G$51:$G$52</definedName>
    <definedName name="OSRRefD21_6x_3" localSheetId="52">'307'!$G$61</definedName>
    <definedName name="OSRRefD21_6x_3" localSheetId="53">'308'!$G$64</definedName>
    <definedName name="OSRRefD21_6x_3" localSheetId="64">'309'!$G$32</definedName>
    <definedName name="OSRRefD21_6x_3" localSheetId="63">'310'!$G$56</definedName>
    <definedName name="OSRRefD21_6x_3" localSheetId="71">'310 &amp; 491'!$G$58</definedName>
    <definedName name="OSRRefD21_6x_3" localSheetId="54">'311'!$G$64</definedName>
    <definedName name="OSRRefD21_6x_3" localSheetId="57">'315'!$G$72</definedName>
    <definedName name="OSRRefD21_6x_3" localSheetId="60">'316'!$G$56</definedName>
    <definedName name="OSRRefD21_6x_3" localSheetId="62">'317'!$G$64</definedName>
    <definedName name="OSRRefD21_6x_3" localSheetId="66">'321'!$G$52:$G$53</definedName>
    <definedName name="OSRRefD21_6x_3" localSheetId="68">'325'!$G$54</definedName>
    <definedName name="OSRRefD21_6x_3" localSheetId="58">'326'!$G$56</definedName>
    <definedName name="OSRRefD21_6x_3" localSheetId="51">'330'!$G$61</definedName>
    <definedName name="OSRRefD21_6x_3" localSheetId="56">'331'!$G$72</definedName>
    <definedName name="OSRRefD21_6x_3" localSheetId="59">'332'!$G$56</definedName>
    <definedName name="OSRRefD21_6x_3" localSheetId="73">'405'!$G$56</definedName>
    <definedName name="OSRRefD21_6x_3" localSheetId="75">'411'!$G$49</definedName>
    <definedName name="OSRRefD21_6x_3" localSheetId="79">'415'!$G$56</definedName>
    <definedName name="OSRRefD21_6x_3" localSheetId="80">'418'!$G$53</definedName>
    <definedName name="OSRRefD21_6x_3" localSheetId="86">'430'!$G$49:$G$50</definedName>
    <definedName name="OSRRefD21_6x_3" localSheetId="87">'433'!$G$56</definedName>
    <definedName name="OSRRefD21_6x_3" localSheetId="88">'444'!$G$56</definedName>
    <definedName name="OSRRefD21_6x_3" localSheetId="89">'450'!$G$56</definedName>
    <definedName name="OSRRefD21_6x_3" localSheetId="72">'491'!$G$57</definedName>
    <definedName name="OSRRefD21_6x_3" localSheetId="85">'492'!$G$56</definedName>
    <definedName name="OSRRefD21_6x_3" localSheetId="91">'501'!$G$51</definedName>
    <definedName name="OSRRefD21_6x_3" localSheetId="39">'Div 2'!$G$51</definedName>
    <definedName name="OSRRefD21_6x_3" localSheetId="47">'Div 3'!$G$88:$G$89</definedName>
    <definedName name="OSRRefD21_6x_3" localSheetId="70">'Div 4'!$G$59</definedName>
    <definedName name="OSRRefD21_6x_3" localSheetId="90">'Div 5'!$G$51</definedName>
    <definedName name="OSRRefD21_6x_3" localSheetId="61">'Div 6'!$G$64</definedName>
    <definedName name="OSRRefD21_6x_3" localSheetId="2">Summary!$G$96:$G$97</definedName>
    <definedName name="OSRRefD21_6x_4" localSheetId="41">'201'!$H$48</definedName>
    <definedName name="OSRRefD21_6x_4" localSheetId="42">'202'!$H$48</definedName>
    <definedName name="OSRRefD21_6x_4" localSheetId="43">'203'!$H$49</definedName>
    <definedName name="OSRRefD21_6x_4" localSheetId="44">'204'!$H$52</definedName>
    <definedName name="OSRRefD21_6x_4" localSheetId="45">'205'!$H$50:$H$51</definedName>
    <definedName name="OSRRefD21_6x_4" localSheetId="48">'300'!$H$84:$H$85</definedName>
    <definedName name="OSRRefD21_6x_4" localSheetId="49">'300 &amp; 317'!$H$90:$H$91</definedName>
    <definedName name="OSRRefD21_6x_4" localSheetId="50">'301'!$H$51:$H$52</definedName>
    <definedName name="OSRRefD21_6x_4" localSheetId="52">'307'!$H$61</definedName>
    <definedName name="OSRRefD21_6x_4" localSheetId="53">'308'!$H$64</definedName>
    <definedName name="OSRRefD21_6x_4" localSheetId="64">'309'!$H$32</definedName>
    <definedName name="OSRRefD21_6x_4" localSheetId="63">'310'!$H$56</definedName>
    <definedName name="OSRRefD21_6x_4" localSheetId="71">'310 &amp; 491'!$H$58</definedName>
    <definedName name="OSRRefD21_6x_4" localSheetId="54">'311'!$H$64</definedName>
    <definedName name="OSRRefD21_6x_4" localSheetId="57">'315'!$H$72</definedName>
    <definedName name="OSRRefD21_6x_4" localSheetId="60">'316'!$H$56</definedName>
    <definedName name="OSRRefD21_6x_4" localSheetId="62">'317'!$H$64</definedName>
    <definedName name="OSRRefD21_6x_4" localSheetId="66">'321'!$H$52:$H$53</definedName>
    <definedName name="OSRRefD21_6x_4" localSheetId="68">'325'!$H$54</definedName>
    <definedName name="OSRRefD21_6x_4" localSheetId="58">'326'!$H$56</definedName>
    <definedName name="OSRRefD21_6x_4" localSheetId="51">'330'!$H$61</definedName>
    <definedName name="OSRRefD21_6x_4" localSheetId="56">'331'!$H$72</definedName>
    <definedName name="OSRRefD21_6x_4" localSheetId="59">'332'!$H$56</definedName>
    <definedName name="OSRRefD21_6x_4" localSheetId="73">'405'!$H$56</definedName>
    <definedName name="OSRRefD21_6x_4" localSheetId="75">'411'!$H$49</definedName>
    <definedName name="OSRRefD21_6x_4" localSheetId="79">'415'!$H$56</definedName>
    <definedName name="OSRRefD21_6x_4" localSheetId="80">'418'!$H$53</definedName>
    <definedName name="OSRRefD21_6x_4" localSheetId="86">'430'!$H$49:$H$50</definedName>
    <definedName name="OSRRefD21_6x_4" localSheetId="87">'433'!$H$56</definedName>
    <definedName name="OSRRefD21_6x_4" localSheetId="88">'444'!$H$56</definedName>
    <definedName name="OSRRefD21_6x_4" localSheetId="89">'450'!$H$56</definedName>
    <definedName name="OSRRefD21_6x_4" localSheetId="72">'491'!$H$57</definedName>
    <definedName name="OSRRefD21_6x_4" localSheetId="85">'492'!$H$56</definedName>
    <definedName name="OSRRefD21_6x_4" localSheetId="91">'501'!$H$51</definedName>
    <definedName name="OSRRefD21_6x_4" localSheetId="39">'Div 2'!$H$51</definedName>
    <definedName name="OSRRefD21_6x_4" localSheetId="47">'Div 3'!$H$88:$H$89</definedName>
    <definedName name="OSRRefD21_6x_4" localSheetId="70">'Div 4'!$H$59</definedName>
    <definedName name="OSRRefD21_6x_4" localSheetId="90">'Div 5'!$H$51</definedName>
    <definedName name="OSRRefD21_6x_4" localSheetId="61">'Div 6'!$H$64</definedName>
    <definedName name="OSRRefD21_6x_4" localSheetId="2">Summary!$H$96:$H$97</definedName>
    <definedName name="OSRRefD21_6x_5" localSheetId="41">'201'!$I$48</definedName>
    <definedName name="OSRRefD21_6x_5" localSheetId="42">'202'!$I$48</definedName>
    <definedName name="OSRRefD21_6x_5" localSheetId="43">'203'!$I$49</definedName>
    <definedName name="OSRRefD21_6x_5" localSheetId="44">'204'!$I$52</definedName>
    <definedName name="OSRRefD21_6x_5" localSheetId="45">'205'!$I$50:$I$51</definedName>
    <definedName name="OSRRefD21_6x_5" localSheetId="48">'300'!$I$84:$I$85</definedName>
    <definedName name="OSRRefD21_6x_5" localSheetId="49">'300 &amp; 317'!$I$90:$I$91</definedName>
    <definedName name="OSRRefD21_6x_5" localSheetId="50">'301'!$I$51:$I$52</definedName>
    <definedName name="OSRRefD21_6x_5" localSheetId="52">'307'!$I$61</definedName>
    <definedName name="OSRRefD21_6x_5" localSheetId="53">'308'!$I$64</definedName>
    <definedName name="OSRRefD21_6x_5" localSheetId="64">'309'!$I$32</definedName>
    <definedName name="OSRRefD21_6x_5" localSheetId="63">'310'!$I$56</definedName>
    <definedName name="OSRRefD21_6x_5" localSheetId="71">'310 &amp; 491'!$I$58</definedName>
    <definedName name="OSRRefD21_6x_5" localSheetId="54">'311'!$I$64</definedName>
    <definedName name="OSRRefD21_6x_5" localSheetId="57">'315'!$I$72</definedName>
    <definedName name="OSRRefD21_6x_5" localSheetId="60">'316'!$I$56</definedName>
    <definedName name="OSRRefD21_6x_5" localSheetId="62">'317'!$I$64</definedName>
    <definedName name="OSRRefD21_6x_5" localSheetId="66">'321'!$I$52:$I$53</definedName>
    <definedName name="OSRRefD21_6x_5" localSheetId="68">'325'!$I$54</definedName>
    <definedName name="OSRRefD21_6x_5" localSheetId="58">'326'!$I$56</definedName>
    <definedName name="OSRRefD21_6x_5" localSheetId="51">'330'!$I$61</definedName>
    <definedName name="OSRRefD21_6x_5" localSheetId="56">'331'!$I$72</definedName>
    <definedName name="OSRRefD21_6x_5" localSheetId="59">'332'!$I$56</definedName>
    <definedName name="OSRRefD21_6x_5" localSheetId="73">'405'!$I$56</definedName>
    <definedName name="OSRRefD21_6x_5" localSheetId="75">'411'!$I$49</definedName>
    <definedName name="OSRRefD21_6x_5" localSheetId="79">'415'!$I$56</definedName>
    <definedName name="OSRRefD21_6x_5" localSheetId="80">'418'!$I$53</definedName>
    <definedName name="OSRRefD21_6x_5" localSheetId="86">'430'!$I$49:$I$50</definedName>
    <definedName name="OSRRefD21_6x_5" localSheetId="87">'433'!$I$56</definedName>
    <definedName name="OSRRefD21_6x_5" localSheetId="88">'444'!$I$56</definedName>
    <definedName name="OSRRefD21_6x_5" localSheetId="89">'450'!$I$56</definedName>
    <definedName name="OSRRefD21_6x_5" localSheetId="72">'491'!$I$57</definedName>
    <definedName name="OSRRefD21_6x_5" localSheetId="85">'492'!$I$56</definedName>
    <definedName name="OSRRefD21_6x_5" localSheetId="91">'501'!$I$51</definedName>
    <definedName name="OSRRefD21_6x_5" localSheetId="39">'Div 2'!$I$51</definedName>
    <definedName name="OSRRefD21_6x_5" localSheetId="47">'Div 3'!$I$88:$I$89</definedName>
    <definedName name="OSRRefD21_6x_5" localSheetId="70">'Div 4'!$I$59</definedName>
    <definedName name="OSRRefD21_6x_5" localSheetId="90">'Div 5'!$I$51</definedName>
    <definedName name="OSRRefD21_6x_5" localSheetId="61">'Div 6'!$I$64</definedName>
    <definedName name="OSRRefD21_6x_5" localSheetId="2">Summary!$I$96:$I$97</definedName>
    <definedName name="OSRRefD21_7_0x" localSheetId="41">'201'!$D$50:$I$50</definedName>
    <definedName name="OSRRefD21_7_0x" localSheetId="42">'202'!$D$50:$I$50</definedName>
    <definedName name="OSRRefD21_7_0x" localSheetId="43">'203'!$D$51:$I$51</definedName>
    <definedName name="OSRRefD21_7_0x" localSheetId="44">'204'!$D$54:$I$54</definedName>
    <definedName name="OSRRefD21_7_0x" localSheetId="45">'205'!$D$53:$I$53</definedName>
    <definedName name="OSRRefD21_7_0x" localSheetId="48">'300'!$D$87:$I$87</definedName>
    <definedName name="OSRRefD21_7_0x" localSheetId="49">'300 &amp; 317'!$D$93:$I$93</definedName>
    <definedName name="OSRRefD21_7_0x" localSheetId="50">'301'!$D$54:$I$54</definedName>
    <definedName name="OSRRefD21_7_0x" localSheetId="52">'307'!$D$63:$I$63</definedName>
    <definedName name="OSRRefD21_7_0x" localSheetId="53">'308'!$D$66:$I$66</definedName>
    <definedName name="OSRRefD21_7_0x" localSheetId="63">'310'!$D$58:$I$58</definedName>
    <definedName name="OSRRefD21_7_0x" localSheetId="71">'310 &amp; 491'!$D$60:$I$60</definedName>
    <definedName name="OSRRefD21_7_0x" localSheetId="54">'311'!$D$66:$I$66</definedName>
    <definedName name="OSRRefD21_7_0x" localSheetId="57">'315'!$D$74:$I$74</definedName>
    <definedName name="OSRRefD21_7_0x" localSheetId="60">'316'!$D$58:$I$58</definedName>
    <definedName name="OSRRefD21_7_0x" localSheetId="62">'317'!$D$66:$I$66</definedName>
    <definedName name="OSRRefD21_7_0x" localSheetId="66">'321'!$D$55:$I$55</definedName>
    <definedName name="OSRRefD21_7_0x" localSheetId="68">'325'!$D$56:$I$56</definedName>
    <definedName name="OSRRefD21_7_0x" localSheetId="58">'326'!$D$58:$I$58</definedName>
    <definedName name="OSRRefD21_7_0x" localSheetId="51">'330'!$D$63:$I$63</definedName>
    <definedName name="OSRRefD21_7_0x" localSheetId="56">'331'!$D$74:$I$74</definedName>
    <definedName name="OSRRefD21_7_0x" localSheetId="59">'332'!$D$58:$I$58</definedName>
    <definedName name="OSRRefD21_7_0x" localSheetId="73">'405'!$D$58:$I$58</definedName>
    <definedName name="OSRRefD21_7_0x" localSheetId="75">'411'!$D$51:$I$51</definedName>
    <definedName name="OSRRefD21_7_0x" localSheetId="79">'415'!$D$58:$I$58</definedName>
    <definedName name="OSRRefD21_7_0x" localSheetId="80">'418'!$D$55:$I$55</definedName>
    <definedName name="OSRRefD21_7_0x" localSheetId="86">'430'!$D$52:$I$52</definedName>
    <definedName name="OSRRefD21_7_0x" localSheetId="87">'433'!$D$58:$I$58</definedName>
    <definedName name="OSRRefD21_7_0x" localSheetId="88">'444'!$D$58:$I$58</definedName>
    <definedName name="OSRRefD21_7_0x" localSheetId="89">'450'!$D$58:$I$58</definedName>
    <definedName name="OSRRefD21_7_0x" localSheetId="72">'491'!$D$59:$I$59</definedName>
    <definedName name="OSRRefD21_7_0x" localSheetId="85">'492'!$D$58:$I$58</definedName>
    <definedName name="OSRRefD21_7_0x" localSheetId="91">'501'!$D$53:$I$53</definedName>
    <definedName name="OSRRefD21_7_0x" localSheetId="39">'Div 2'!$D$53:$I$53</definedName>
    <definedName name="OSRRefD21_7_0x" localSheetId="47">'Div 3'!$D$91:$I$91</definedName>
    <definedName name="OSRRefD21_7_0x" localSheetId="70">'Div 4'!$D$61:$I$61</definedName>
    <definedName name="OSRRefD21_7_0x" localSheetId="90">'Div 5'!$D$53:$I$53</definedName>
    <definedName name="OSRRefD21_7_0x" localSheetId="61">'Div 6'!$D$66:$I$66</definedName>
    <definedName name="OSRRefD21_7_0x" localSheetId="2">Summary!$D$99:$I$99</definedName>
    <definedName name="OSRRefD21_7_1x" localSheetId="42">'202'!$D$51:$I$51</definedName>
    <definedName name="OSRRefD21_7_1x" localSheetId="44">'204'!$D$55:$I$55</definedName>
    <definedName name="OSRRefD21_7_1x" localSheetId="60">'316'!$D$59:$I$59</definedName>
    <definedName name="OSRRefD21_7_1x" localSheetId="59">'332'!$D$59:$I$59</definedName>
    <definedName name="OSRRefD21_7_1x" localSheetId="80">'418'!$D$56:$I$56</definedName>
    <definedName name="OSRRefD21_7_2x" localSheetId="42">'202'!$D$52:$I$52</definedName>
    <definedName name="OSRRefD21_7x_0" localSheetId="41">'201'!$D$50</definedName>
    <definedName name="OSRRefD21_7x_0" localSheetId="42">'202'!$D$50:$D$52</definedName>
    <definedName name="OSRRefD21_7x_0" localSheetId="43">'203'!$D$51</definedName>
    <definedName name="OSRRefD21_7x_0" localSheetId="44">'204'!$D$54:$D$55</definedName>
    <definedName name="OSRRefD21_7x_0" localSheetId="45">'205'!$D$53</definedName>
    <definedName name="OSRRefD21_7x_0" localSheetId="48">'300'!$D$87</definedName>
    <definedName name="OSRRefD21_7x_0" localSheetId="49">'300 &amp; 317'!$D$93</definedName>
    <definedName name="OSRRefD21_7x_0" localSheetId="50">'301'!$D$54</definedName>
    <definedName name="OSRRefD21_7x_0" localSheetId="52">'307'!$D$63</definedName>
    <definedName name="OSRRefD21_7x_0" localSheetId="53">'308'!$D$66</definedName>
    <definedName name="OSRRefD21_7x_0" localSheetId="63">'310'!$D$58</definedName>
    <definedName name="OSRRefD21_7x_0" localSheetId="71">'310 &amp; 491'!$D$60</definedName>
    <definedName name="OSRRefD21_7x_0" localSheetId="54">'311'!$D$66</definedName>
    <definedName name="OSRRefD21_7x_0" localSheetId="57">'315'!$D$74</definedName>
    <definedName name="OSRRefD21_7x_0" localSheetId="60">'316'!$D$58:$D$59</definedName>
    <definedName name="OSRRefD21_7x_0" localSheetId="62">'317'!$D$66</definedName>
    <definedName name="OSRRefD21_7x_0" localSheetId="66">'321'!$D$55</definedName>
    <definedName name="OSRRefD21_7x_0" localSheetId="68">'325'!$D$56</definedName>
    <definedName name="OSRRefD21_7x_0" localSheetId="58">'326'!$D$58</definedName>
    <definedName name="OSRRefD21_7x_0" localSheetId="51">'330'!$D$63</definedName>
    <definedName name="OSRRefD21_7x_0" localSheetId="56">'331'!$D$74</definedName>
    <definedName name="OSRRefD21_7x_0" localSheetId="59">'332'!$D$58:$D$59</definedName>
    <definedName name="OSRRefD21_7x_0" localSheetId="73">'405'!$D$58</definedName>
    <definedName name="OSRRefD21_7x_0" localSheetId="75">'411'!$D$51</definedName>
    <definedName name="OSRRefD21_7x_0" localSheetId="79">'415'!$D$58</definedName>
    <definedName name="OSRRefD21_7x_0" localSheetId="80">'418'!$D$55:$D$56</definedName>
    <definedName name="OSRRefD21_7x_0" localSheetId="86">'430'!$D$52</definedName>
    <definedName name="OSRRefD21_7x_0" localSheetId="87">'433'!$D$58</definedName>
    <definedName name="OSRRefD21_7x_0" localSheetId="88">'444'!$D$58</definedName>
    <definedName name="OSRRefD21_7x_0" localSheetId="89">'450'!$D$58</definedName>
    <definedName name="OSRRefD21_7x_0" localSheetId="72">'491'!$D$59</definedName>
    <definedName name="OSRRefD21_7x_0" localSheetId="85">'492'!$D$58</definedName>
    <definedName name="OSRRefD21_7x_0" localSheetId="91">'501'!$D$53</definedName>
    <definedName name="OSRRefD21_7x_0" localSheetId="39">'Div 2'!$D$53</definedName>
    <definedName name="OSRRefD21_7x_0" localSheetId="47">'Div 3'!$D$91</definedName>
    <definedName name="OSRRefD21_7x_0" localSheetId="70">'Div 4'!$D$61</definedName>
    <definedName name="OSRRefD21_7x_0" localSheetId="90">'Div 5'!$D$53</definedName>
    <definedName name="OSRRefD21_7x_0" localSheetId="61">'Div 6'!$D$66</definedName>
    <definedName name="OSRRefD21_7x_0" localSheetId="2">Summary!$D$99</definedName>
    <definedName name="OSRRefD21_7x_1" localSheetId="41">'201'!$E$50</definedName>
    <definedName name="OSRRefD21_7x_1" localSheetId="42">'202'!$E$50:$E$52</definedName>
    <definedName name="OSRRefD21_7x_1" localSheetId="43">'203'!$E$51</definedName>
    <definedName name="OSRRefD21_7x_1" localSheetId="44">'204'!$E$54:$E$55</definedName>
    <definedName name="OSRRefD21_7x_1" localSheetId="45">'205'!$E$53</definedName>
    <definedName name="OSRRefD21_7x_1" localSheetId="48">'300'!$E$87</definedName>
    <definedName name="OSRRefD21_7x_1" localSheetId="49">'300 &amp; 317'!$E$93</definedName>
    <definedName name="OSRRefD21_7x_1" localSheetId="50">'301'!$E$54</definedName>
    <definedName name="OSRRefD21_7x_1" localSheetId="52">'307'!$E$63</definedName>
    <definedName name="OSRRefD21_7x_1" localSheetId="53">'308'!$E$66</definedName>
    <definedName name="OSRRefD21_7x_1" localSheetId="63">'310'!$E$58</definedName>
    <definedName name="OSRRefD21_7x_1" localSheetId="71">'310 &amp; 491'!$E$60</definedName>
    <definedName name="OSRRefD21_7x_1" localSheetId="54">'311'!$E$66</definedName>
    <definedName name="OSRRefD21_7x_1" localSheetId="57">'315'!$E$74</definedName>
    <definedName name="OSRRefD21_7x_1" localSheetId="60">'316'!$E$58:$E$59</definedName>
    <definedName name="OSRRefD21_7x_1" localSheetId="62">'317'!$E$66</definedName>
    <definedName name="OSRRefD21_7x_1" localSheetId="66">'321'!$E$55</definedName>
    <definedName name="OSRRefD21_7x_1" localSheetId="68">'325'!$E$56</definedName>
    <definedName name="OSRRefD21_7x_1" localSheetId="58">'326'!$E$58</definedName>
    <definedName name="OSRRefD21_7x_1" localSheetId="51">'330'!$E$63</definedName>
    <definedName name="OSRRefD21_7x_1" localSheetId="56">'331'!$E$74</definedName>
    <definedName name="OSRRefD21_7x_1" localSheetId="59">'332'!$E$58:$E$59</definedName>
    <definedName name="OSRRefD21_7x_1" localSheetId="73">'405'!$E$58</definedName>
    <definedName name="OSRRefD21_7x_1" localSheetId="75">'411'!$E$51</definedName>
    <definedName name="OSRRefD21_7x_1" localSheetId="79">'415'!$E$58</definedName>
    <definedName name="OSRRefD21_7x_1" localSheetId="80">'418'!$E$55:$E$56</definedName>
    <definedName name="OSRRefD21_7x_1" localSheetId="86">'430'!$E$52</definedName>
    <definedName name="OSRRefD21_7x_1" localSheetId="87">'433'!$E$58</definedName>
    <definedName name="OSRRefD21_7x_1" localSheetId="88">'444'!$E$58</definedName>
    <definedName name="OSRRefD21_7x_1" localSheetId="89">'450'!$E$58</definedName>
    <definedName name="OSRRefD21_7x_1" localSheetId="72">'491'!$E$59</definedName>
    <definedName name="OSRRefD21_7x_1" localSheetId="85">'492'!$E$58</definedName>
    <definedName name="OSRRefD21_7x_1" localSheetId="91">'501'!$E$53</definedName>
    <definedName name="OSRRefD21_7x_1" localSheetId="39">'Div 2'!$E$53</definedName>
    <definedName name="OSRRefD21_7x_1" localSheetId="47">'Div 3'!$E$91</definedName>
    <definedName name="OSRRefD21_7x_1" localSheetId="70">'Div 4'!$E$61</definedName>
    <definedName name="OSRRefD21_7x_1" localSheetId="90">'Div 5'!$E$53</definedName>
    <definedName name="OSRRefD21_7x_1" localSheetId="61">'Div 6'!$E$66</definedName>
    <definedName name="OSRRefD21_7x_1" localSheetId="2">Summary!$E$99</definedName>
    <definedName name="OSRRefD21_7x_2" localSheetId="41">'201'!$F$50</definedName>
    <definedName name="OSRRefD21_7x_2" localSheetId="42">'202'!$F$50:$F$52</definedName>
    <definedName name="OSRRefD21_7x_2" localSheetId="43">'203'!$F$51</definedName>
    <definedName name="OSRRefD21_7x_2" localSheetId="44">'204'!$F$54:$F$55</definedName>
    <definedName name="OSRRefD21_7x_2" localSheetId="45">'205'!$F$53</definedName>
    <definedName name="OSRRefD21_7x_2" localSheetId="48">'300'!$F$87</definedName>
    <definedName name="OSRRefD21_7x_2" localSheetId="49">'300 &amp; 317'!$F$93</definedName>
    <definedName name="OSRRefD21_7x_2" localSheetId="50">'301'!$F$54</definedName>
    <definedName name="OSRRefD21_7x_2" localSheetId="52">'307'!$F$63</definedName>
    <definedName name="OSRRefD21_7x_2" localSheetId="53">'308'!$F$66</definedName>
    <definedName name="OSRRefD21_7x_2" localSheetId="63">'310'!$F$58</definedName>
    <definedName name="OSRRefD21_7x_2" localSheetId="71">'310 &amp; 491'!$F$60</definedName>
    <definedName name="OSRRefD21_7x_2" localSheetId="54">'311'!$F$66</definedName>
    <definedName name="OSRRefD21_7x_2" localSheetId="57">'315'!$F$74</definedName>
    <definedName name="OSRRefD21_7x_2" localSheetId="60">'316'!$F$58:$F$59</definedName>
    <definedName name="OSRRefD21_7x_2" localSheetId="62">'317'!$F$66</definedName>
    <definedName name="OSRRefD21_7x_2" localSheetId="66">'321'!$F$55</definedName>
    <definedName name="OSRRefD21_7x_2" localSheetId="68">'325'!$F$56</definedName>
    <definedName name="OSRRefD21_7x_2" localSheetId="58">'326'!$F$58</definedName>
    <definedName name="OSRRefD21_7x_2" localSheetId="51">'330'!$F$63</definedName>
    <definedName name="OSRRefD21_7x_2" localSheetId="56">'331'!$F$74</definedName>
    <definedName name="OSRRefD21_7x_2" localSheetId="59">'332'!$F$58:$F$59</definedName>
    <definedName name="OSRRefD21_7x_2" localSheetId="73">'405'!$F$58</definedName>
    <definedName name="OSRRefD21_7x_2" localSheetId="75">'411'!$F$51</definedName>
    <definedName name="OSRRefD21_7x_2" localSheetId="79">'415'!$F$58</definedName>
    <definedName name="OSRRefD21_7x_2" localSheetId="80">'418'!$F$55:$F$56</definedName>
    <definedName name="OSRRefD21_7x_2" localSheetId="86">'430'!$F$52</definedName>
    <definedName name="OSRRefD21_7x_2" localSheetId="87">'433'!$F$58</definedName>
    <definedName name="OSRRefD21_7x_2" localSheetId="88">'444'!$F$58</definedName>
    <definedName name="OSRRefD21_7x_2" localSheetId="89">'450'!$F$58</definedName>
    <definedName name="OSRRefD21_7x_2" localSheetId="72">'491'!$F$59</definedName>
    <definedName name="OSRRefD21_7x_2" localSheetId="85">'492'!$F$58</definedName>
    <definedName name="OSRRefD21_7x_2" localSheetId="91">'501'!$F$53</definedName>
    <definedName name="OSRRefD21_7x_2" localSheetId="39">'Div 2'!$F$53</definedName>
    <definedName name="OSRRefD21_7x_2" localSheetId="47">'Div 3'!$F$91</definedName>
    <definedName name="OSRRefD21_7x_2" localSheetId="70">'Div 4'!$F$61</definedName>
    <definedName name="OSRRefD21_7x_2" localSheetId="90">'Div 5'!$F$53</definedName>
    <definedName name="OSRRefD21_7x_2" localSheetId="61">'Div 6'!$F$66</definedName>
    <definedName name="OSRRefD21_7x_2" localSheetId="2">Summary!$F$99</definedName>
    <definedName name="OSRRefD21_7x_3" localSheetId="41">'201'!$G$50</definedName>
    <definedName name="OSRRefD21_7x_3" localSheetId="42">'202'!$G$50:$G$52</definedName>
    <definedName name="OSRRefD21_7x_3" localSheetId="43">'203'!$G$51</definedName>
    <definedName name="OSRRefD21_7x_3" localSheetId="44">'204'!$G$54:$G$55</definedName>
    <definedName name="OSRRefD21_7x_3" localSheetId="45">'205'!$G$53</definedName>
    <definedName name="OSRRefD21_7x_3" localSheetId="48">'300'!$G$87</definedName>
    <definedName name="OSRRefD21_7x_3" localSheetId="49">'300 &amp; 317'!$G$93</definedName>
    <definedName name="OSRRefD21_7x_3" localSheetId="50">'301'!$G$54</definedName>
    <definedName name="OSRRefD21_7x_3" localSheetId="52">'307'!$G$63</definedName>
    <definedName name="OSRRefD21_7x_3" localSheetId="53">'308'!$G$66</definedName>
    <definedName name="OSRRefD21_7x_3" localSheetId="63">'310'!$G$58</definedName>
    <definedName name="OSRRefD21_7x_3" localSheetId="71">'310 &amp; 491'!$G$60</definedName>
    <definedName name="OSRRefD21_7x_3" localSheetId="54">'311'!$G$66</definedName>
    <definedName name="OSRRefD21_7x_3" localSheetId="57">'315'!$G$74</definedName>
    <definedName name="OSRRefD21_7x_3" localSheetId="60">'316'!$G$58:$G$59</definedName>
    <definedName name="OSRRefD21_7x_3" localSheetId="62">'317'!$G$66</definedName>
    <definedName name="OSRRefD21_7x_3" localSheetId="66">'321'!$G$55</definedName>
    <definedName name="OSRRefD21_7x_3" localSheetId="68">'325'!$G$56</definedName>
    <definedName name="OSRRefD21_7x_3" localSheetId="58">'326'!$G$58</definedName>
    <definedName name="OSRRefD21_7x_3" localSheetId="51">'330'!$G$63</definedName>
    <definedName name="OSRRefD21_7x_3" localSheetId="56">'331'!$G$74</definedName>
    <definedName name="OSRRefD21_7x_3" localSheetId="59">'332'!$G$58:$G$59</definedName>
    <definedName name="OSRRefD21_7x_3" localSheetId="73">'405'!$G$58</definedName>
    <definedName name="OSRRefD21_7x_3" localSheetId="75">'411'!$G$51</definedName>
    <definedName name="OSRRefD21_7x_3" localSheetId="79">'415'!$G$58</definedName>
    <definedName name="OSRRefD21_7x_3" localSheetId="80">'418'!$G$55:$G$56</definedName>
    <definedName name="OSRRefD21_7x_3" localSheetId="86">'430'!$G$52</definedName>
    <definedName name="OSRRefD21_7x_3" localSheetId="87">'433'!$G$58</definedName>
    <definedName name="OSRRefD21_7x_3" localSheetId="88">'444'!$G$58</definedName>
    <definedName name="OSRRefD21_7x_3" localSheetId="89">'450'!$G$58</definedName>
    <definedName name="OSRRefD21_7x_3" localSheetId="72">'491'!$G$59</definedName>
    <definedName name="OSRRefD21_7x_3" localSheetId="85">'492'!$G$58</definedName>
    <definedName name="OSRRefD21_7x_3" localSheetId="91">'501'!$G$53</definedName>
    <definedName name="OSRRefD21_7x_3" localSheetId="39">'Div 2'!$G$53</definedName>
    <definedName name="OSRRefD21_7x_3" localSheetId="47">'Div 3'!$G$91</definedName>
    <definedName name="OSRRefD21_7x_3" localSheetId="70">'Div 4'!$G$61</definedName>
    <definedName name="OSRRefD21_7x_3" localSheetId="90">'Div 5'!$G$53</definedName>
    <definedName name="OSRRefD21_7x_3" localSheetId="61">'Div 6'!$G$66</definedName>
    <definedName name="OSRRefD21_7x_3" localSheetId="2">Summary!$G$99</definedName>
    <definedName name="OSRRefD21_7x_4" localSheetId="41">'201'!$H$50</definedName>
    <definedName name="OSRRefD21_7x_4" localSheetId="42">'202'!$H$50:$H$52</definedName>
    <definedName name="OSRRefD21_7x_4" localSheetId="43">'203'!$H$51</definedName>
    <definedName name="OSRRefD21_7x_4" localSheetId="44">'204'!$H$54:$H$55</definedName>
    <definedName name="OSRRefD21_7x_4" localSheetId="45">'205'!$H$53</definedName>
    <definedName name="OSRRefD21_7x_4" localSheetId="48">'300'!$H$87</definedName>
    <definedName name="OSRRefD21_7x_4" localSheetId="49">'300 &amp; 317'!$H$93</definedName>
    <definedName name="OSRRefD21_7x_4" localSheetId="50">'301'!$H$54</definedName>
    <definedName name="OSRRefD21_7x_4" localSheetId="52">'307'!$H$63</definedName>
    <definedName name="OSRRefD21_7x_4" localSheetId="53">'308'!$H$66</definedName>
    <definedName name="OSRRefD21_7x_4" localSheetId="63">'310'!$H$58</definedName>
    <definedName name="OSRRefD21_7x_4" localSheetId="71">'310 &amp; 491'!$H$60</definedName>
    <definedName name="OSRRefD21_7x_4" localSheetId="54">'311'!$H$66</definedName>
    <definedName name="OSRRefD21_7x_4" localSheetId="57">'315'!$H$74</definedName>
    <definedName name="OSRRefD21_7x_4" localSheetId="60">'316'!$H$58:$H$59</definedName>
    <definedName name="OSRRefD21_7x_4" localSheetId="62">'317'!$H$66</definedName>
    <definedName name="OSRRefD21_7x_4" localSheetId="66">'321'!$H$55</definedName>
    <definedName name="OSRRefD21_7x_4" localSheetId="68">'325'!$H$56</definedName>
    <definedName name="OSRRefD21_7x_4" localSheetId="58">'326'!$H$58</definedName>
    <definedName name="OSRRefD21_7x_4" localSheetId="51">'330'!$H$63</definedName>
    <definedName name="OSRRefD21_7x_4" localSheetId="56">'331'!$H$74</definedName>
    <definedName name="OSRRefD21_7x_4" localSheetId="59">'332'!$H$58:$H$59</definedName>
    <definedName name="OSRRefD21_7x_4" localSheetId="73">'405'!$H$58</definedName>
    <definedName name="OSRRefD21_7x_4" localSheetId="75">'411'!$H$51</definedName>
    <definedName name="OSRRefD21_7x_4" localSheetId="79">'415'!$H$58</definedName>
    <definedName name="OSRRefD21_7x_4" localSheetId="80">'418'!$H$55:$H$56</definedName>
    <definedName name="OSRRefD21_7x_4" localSheetId="86">'430'!$H$52</definedName>
    <definedName name="OSRRefD21_7x_4" localSheetId="87">'433'!$H$58</definedName>
    <definedName name="OSRRefD21_7x_4" localSheetId="88">'444'!$H$58</definedName>
    <definedName name="OSRRefD21_7x_4" localSheetId="89">'450'!$H$58</definedName>
    <definedName name="OSRRefD21_7x_4" localSheetId="72">'491'!$H$59</definedName>
    <definedName name="OSRRefD21_7x_4" localSheetId="85">'492'!$H$58</definedName>
    <definedName name="OSRRefD21_7x_4" localSheetId="91">'501'!$H$53</definedName>
    <definedName name="OSRRefD21_7x_4" localSheetId="39">'Div 2'!$H$53</definedName>
    <definedName name="OSRRefD21_7x_4" localSheetId="47">'Div 3'!$H$91</definedName>
    <definedName name="OSRRefD21_7x_4" localSheetId="70">'Div 4'!$H$61</definedName>
    <definedName name="OSRRefD21_7x_4" localSheetId="90">'Div 5'!$H$53</definedName>
    <definedName name="OSRRefD21_7x_4" localSheetId="61">'Div 6'!$H$66</definedName>
    <definedName name="OSRRefD21_7x_4" localSheetId="2">Summary!$H$99</definedName>
    <definedName name="OSRRefD21_7x_5" localSheetId="41">'201'!$I$50</definedName>
    <definedName name="OSRRefD21_7x_5" localSheetId="42">'202'!$I$50:$I$52</definedName>
    <definedName name="OSRRefD21_7x_5" localSheetId="43">'203'!$I$51</definedName>
    <definedName name="OSRRefD21_7x_5" localSheetId="44">'204'!$I$54:$I$55</definedName>
    <definedName name="OSRRefD21_7x_5" localSheetId="45">'205'!$I$53</definedName>
    <definedName name="OSRRefD21_7x_5" localSheetId="48">'300'!$I$87</definedName>
    <definedName name="OSRRefD21_7x_5" localSheetId="49">'300 &amp; 317'!$I$93</definedName>
    <definedName name="OSRRefD21_7x_5" localSheetId="50">'301'!$I$54</definedName>
    <definedName name="OSRRefD21_7x_5" localSheetId="52">'307'!$I$63</definedName>
    <definedName name="OSRRefD21_7x_5" localSheetId="53">'308'!$I$66</definedName>
    <definedName name="OSRRefD21_7x_5" localSheetId="63">'310'!$I$58</definedName>
    <definedName name="OSRRefD21_7x_5" localSheetId="71">'310 &amp; 491'!$I$60</definedName>
    <definedName name="OSRRefD21_7x_5" localSheetId="54">'311'!$I$66</definedName>
    <definedName name="OSRRefD21_7x_5" localSheetId="57">'315'!$I$74</definedName>
    <definedName name="OSRRefD21_7x_5" localSheetId="60">'316'!$I$58:$I$59</definedName>
    <definedName name="OSRRefD21_7x_5" localSheetId="62">'317'!$I$66</definedName>
    <definedName name="OSRRefD21_7x_5" localSheetId="66">'321'!$I$55</definedName>
    <definedName name="OSRRefD21_7x_5" localSheetId="68">'325'!$I$56</definedName>
    <definedName name="OSRRefD21_7x_5" localSheetId="58">'326'!$I$58</definedName>
    <definedName name="OSRRefD21_7x_5" localSheetId="51">'330'!$I$63</definedName>
    <definedName name="OSRRefD21_7x_5" localSheetId="56">'331'!$I$74</definedName>
    <definedName name="OSRRefD21_7x_5" localSheetId="59">'332'!$I$58:$I$59</definedName>
    <definedName name="OSRRefD21_7x_5" localSheetId="73">'405'!$I$58</definedName>
    <definedName name="OSRRefD21_7x_5" localSheetId="75">'411'!$I$51</definedName>
    <definedName name="OSRRefD21_7x_5" localSheetId="79">'415'!$I$58</definedName>
    <definedName name="OSRRefD21_7x_5" localSheetId="80">'418'!$I$55:$I$56</definedName>
    <definedName name="OSRRefD21_7x_5" localSheetId="86">'430'!$I$52</definedName>
    <definedName name="OSRRefD21_7x_5" localSheetId="87">'433'!$I$58</definedName>
    <definedName name="OSRRefD21_7x_5" localSheetId="88">'444'!$I$58</definedName>
    <definedName name="OSRRefD21_7x_5" localSheetId="89">'450'!$I$58</definedName>
    <definedName name="OSRRefD21_7x_5" localSheetId="72">'491'!$I$59</definedName>
    <definedName name="OSRRefD21_7x_5" localSheetId="85">'492'!$I$58</definedName>
    <definedName name="OSRRefD21_7x_5" localSheetId="91">'501'!$I$53</definedName>
    <definedName name="OSRRefD21_7x_5" localSheetId="39">'Div 2'!$I$53</definedName>
    <definedName name="OSRRefD21_7x_5" localSheetId="47">'Div 3'!$I$91</definedName>
    <definedName name="OSRRefD21_7x_5" localSheetId="70">'Div 4'!$I$61</definedName>
    <definedName name="OSRRefD21_7x_5" localSheetId="90">'Div 5'!$I$53</definedName>
    <definedName name="OSRRefD21_7x_5" localSheetId="61">'Div 6'!$I$66</definedName>
    <definedName name="OSRRefD21_7x_5" localSheetId="2">Summary!$I$99</definedName>
    <definedName name="OSRRefD21_8_0x" localSheetId="41">'201'!$D$52:$I$52</definedName>
    <definedName name="OSRRefD21_8_0x" localSheetId="42">'202'!$D$54:$I$54</definedName>
    <definedName name="OSRRefD21_8_0x" localSheetId="43">'203'!$D$53:$I$53</definedName>
    <definedName name="OSRRefD21_8_0x" localSheetId="44">'204'!$D$57:$I$57</definedName>
    <definedName name="OSRRefD21_8_0x" localSheetId="48">'300'!$D$89:$I$89</definedName>
    <definedName name="OSRRefD21_8_0x" localSheetId="49">'300 &amp; 317'!$D$95:$I$95</definedName>
    <definedName name="OSRRefD21_8_0x" localSheetId="50">'301'!$D$56:$I$56</definedName>
    <definedName name="OSRRefD21_8_0x" localSheetId="52">'307'!$D$65:$I$65</definedName>
    <definedName name="OSRRefD21_8_0x" localSheetId="53">'308'!$D$68:$I$68</definedName>
    <definedName name="OSRRefD21_8_0x" localSheetId="63">'310'!$D$60:$I$60</definedName>
    <definedName name="OSRRefD21_8_0x" localSheetId="71">'310 &amp; 491'!$D$62:$I$62</definedName>
    <definedName name="OSRRefD21_8_0x" localSheetId="54">'311'!$D$68:$I$68</definedName>
    <definedName name="OSRRefD21_8_0x" localSheetId="57">'315'!$D$76:$I$76</definedName>
    <definedName name="OSRRefD21_8_0x" localSheetId="60">'316'!$D$61:$I$61</definedName>
    <definedName name="OSRRefD21_8_0x" localSheetId="62">'317'!$D$68:$I$68</definedName>
    <definedName name="OSRRefD21_8_0x" localSheetId="66">'321'!$D$57:$I$57</definedName>
    <definedName name="OSRRefD21_8_0x" localSheetId="68">'325'!$D$58:$I$58</definedName>
    <definedName name="OSRRefD21_8_0x" localSheetId="58">'326'!$D$60:$I$60</definedName>
    <definedName name="OSRRefD21_8_0x" localSheetId="51">'330'!$D$65:$I$65</definedName>
    <definedName name="OSRRefD21_8_0x" localSheetId="56">'331'!$D$76:$I$76</definedName>
    <definedName name="OSRRefD21_8_0x" localSheetId="59">'332'!$D$61:$I$61</definedName>
    <definedName name="OSRRefD21_8_0x" localSheetId="73">'405'!$D$60:$I$60</definedName>
    <definedName name="OSRRefD21_8_0x" localSheetId="75">'411'!$D$53:$I$53</definedName>
    <definedName name="OSRRefD21_8_0x" localSheetId="79">'415'!$D$60:$I$60</definedName>
    <definedName name="OSRRefD21_8_0x" localSheetId="80">'418'!$D$58:$I$58</definedName>
    <definedName name="OSRRefD21_8_0x" localSheetId="86">'430'!$D$54:$I$54</definedName>
    <definedName name="OSRRefD21_8_0x" localSheetId="87">'433'!$D$60:$I$60</definedName>
    <definedName name="OSRRefD21_8_0x" localSheetId="88">'444'!$D$60:$I$60</definedName>
    <definedName name="OSRRefD21_8_0x" localSheetId="89">'450'!$D$60:$I$60</definedName>
    <definedName name="OSRRefD21_8_0x" localSheetId="72">'491'!$D$61:$I$61</definedName>
    <definedName name="OSRRefD21_8_0x" localSheetId="85">'492'!$D$60:$I$60</definedName>
    <definedName name="OSRRefD21_8_0x" localSheetId="91">'501'!$D$55:$I$55</definedName>
    <definedName name="OSRRefD21_8_0x" localSheetId="39">'Div 2'!$D$55:$I$55</definedName>
    <definedName name="OSRRefD21_8_0x" localSheetId="47">'Div 3'!$D$93:$I$93</definedName>
    <definedName name="OSRRefD21_8_0x" localSheetId="70">'Div 4'!$D$63:$I$63</definedName>
    <definedName name="OSRRefD21_8_0x" localSheetId="90">'Div 5'!$D$55:$I$55</definedName>
    <definedName name="OSRRefD21_8_0x" localSheetId="61">'Div 6'!$D$68:$I$68</definedName>
    <definedName name="OSRRefD21_8_0x" localSheetId="2">Summary!$D$101:$I$101</definedName>
    <definedName name="OSRRefD21_8_1x" localSheetId="43">'203'!$D$54:$I$54</definedName>
    <definedName name="OSRRefD21_8_1x" localSheetId="53">'308'!$D$69:$I$69</definedName>
    <definedName name="OSRRefD21_8_1x" localSheetId="71">'310 &amp; 491'!$D$63:$I$63</definedName>
    <definedName name="OSRRefD21_8_1x" localSheetId="54">'311'!$D$69:$I$69</definedName>
    <definedName name="OSRRefD21_8_1x" localSheetId="57">'315'!$D$77:$I$77</definedName>
    <definedName name="OSRRefD21_8_1x" localSheetId="62">'317'!$D$69:$I$69</definedName>
    <definedName name="OSRRefD21_8_1x" localSheetId="66">'321'!$D$58:$I$58</definedName>
    <definedName name="OSRRefD21_8_1x" localSheetId="56">'331'!$D$77:$I$77</definedName>
    <definedName name="OSRRefD21_8_1x" localSheetId="75">'411'!$D$54:$I$54</definedName>
    <definedName name="OSRRefD21_8_1x" localSheetId="80">'418'!$D$59:$I$59</definedName>
    <definedName name="OSRRefD21_8_1x" localSheetId="72">'491'!$D$62:$I$62</definedName>
    <definedName name="OSRRefD21_8_1x" localSheetId="61">'Div 6'!$D$69:$I$69</definedName>
    <definedName name="OSRRefD21_8_2x" localSheetId="43">'203'!$D$55:$I$55</definedName>
    <definedName name="OSRRefD21_8_2x" localSheetId="53">'308'!$D$70:$I$70</definedName>
    <definedName name="OSRRefD21_8_2x" localSheetId="54">'311'!$D$70:$I$70</definedName>
    <definedName name="OSRRefD21_8_2x" localSheetId="75">'411'!$D$55:$I$55</definedName>
    <definedName name="OSRRefD21_8_3x" localSheetId="75">'411'!$D$56:$I$56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'204'!$D$57</definedName>
    <definedName name="OSRRefD21_8x_0" localSheetId="48">'300'!$D$89</definedName>
    <definedName name="OSRRefD21_8x_0" localSheetId="49">'300 &amp; 317'!$D$95</definedName>
    <definedName name="OSRRefD21_8x_0" localSheetId="50">'301'!$D$56</definedName>
    <definedName name="OSRRefD21_8x_0" localSheetId="52">'307'!$D$65</definedName>
    <definedName name="OSRRefD21_8x_0" localSheetId="53">'308'!$D$68:$D$70</definedName>
    <definedName name="OSRRefD21_8x_0" localSheetId="63">'310'!$D$60</definedName>
    <definedName name="OSRRefD21_8x_0" localSheetId="71">'310 &amp; 491'!$D$62:$D$63</definedName>
    <definedName name="OSRRefD21_8x_0" localSheetId="54">'311'!$D$68:$D$70</definedName>
    <definedName name="OSRRefD21_8x_0" localSheetId="57">'315'!$D$76:$D$77</definedName>
    <definedName name="OSRRefD21_8x_0" localSheetId="60">'316'!$D$61</definedName>
    <definedName name="OSRRefD21_8x_0" localSheetId="62">'317'!$D$68:$D$69</definedName>
    <definedName name="OSRRefD21_8x_0" localSheetId="66">'321'!$D$57:$D$58</definedName>
    <definedName name="OSRRefD21_8x_0" localSheetId="68">'325'!$D$58</definedName>
    <definedName name="OSRRefD21_8x_0" localSheetId="58">'326'!$D$60</definedName>
    <definedName name="OSRRefD21_8x_0" localSheetId="51">'330'!$D$65</definedName>
    <definedName name="OSRRefD21_8x_0" localSheetId="56">'331'!$D$76:$D$77</definedName>
    <definedName name="OSRRefD21_8x_0" localSheetId="59">'332'!$D$61</definedName>
    <definedName name="OSRRefD21_8x_0" localSheetId="73">'405'!$D$60</definedName>
    <definedName name="OSRRefD21_8x_0" localSheetId="75">'411'!$D$53:$D$56</definedName>
    <definedName name="OSRRefD21_8x_0" localSheetId="79">'415'!$D$60</definedName>
    <definedName name="OSRRefD21_8x_0" localSheetId="80">'418'!$D$58:$D$59</definedName>
    <definedName name="OSRRefD21_8x_0" localSheetId="86">'430'!$D$54</definedName>
    <definedName name="OSRRefD21_8x_0" localSheetId="87">'433'!$D$60</definedName>
    <definedName name="OSRRefD21_8x_0" localSheetId="88">'444'!$D$60</definedName>
    <definedName name="OSRRefD21_8x_0" localSheetId="89">'450'!$D$60</definedName>
    <definedName name="OSRRefD21_8x_0" localSheetId="72">'491'!$D$61:$D$62</definedName>
    <definedName name="OSRRefD21_8x_0" localSheetId="85">'492'!$D$60</definedName>
    <definedName name="OSRRefD21_8x_0" localSheetId="91">'501'!$D$55</definedName>
    <definedName name="OSRRefD21_8x_0" localSheetId="39">'Div 2'!$D$55</definedName>
    <definedName name="OSRRefD21_8x_0" localSheetId="47">'Div 3'!$D$93</definedName>
    <definedName name="OSRRefD21_8x_0" localSheetId="70">'Div 4'!$D$63</definedName>
    <definedName name="OSRRefD21_8x_0" localSheetId="90">'Div 5'!$D$55</definedName>
    <definedName name="OSRRefD21_8x_0" localSheetId="61">'Div 6'!$D$68:$D$69</definedName>
    <definedName name="OSRRefD21_8x_0" localSheetId="2">Summary!$D$101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'204'!$E$57</definedName>
    <definedName name="OSRRefD21_8x_1" localSheetId="48">'300'!$E$89</definedName>
    <definedName name="OSRRefD21_8x_1" localSheetId="49">'300 &amp; 317'!$E$95</definedName>
    <definedName name="OSRRefD21_8x_1" localSheetId="50">'301'!$E$56</definedName>
    <definedName name="OSRRefD21_8x_1" localSheetId="52">'307'!$E$65</definedName>
    <definedName name="OSRRefD21_8x_1" localSheetId="53">'308'!$E$68:$E$70</definedName>
    <definedName name="OSRRefD21_8x_1" localSheetId="63">'310'!$E$60</definedName>
    <definedName name="OSRRefD21_8x_1" localSheetId="71">'310 &amp; 491'!$E$62:$E$63</definedName>
    <definedName name="OSRRefD21_8x_1" localSheetId="54">'311'!$E$68:$E$70</definedName>
    <definedName name="OSRRefD21_8x_1" localSheetId="57">'315'!$E$76:$E$77</definedName>
    <definedName name="OSRRefD21_8x_1" localSheetId="60">'316'!$E$61</definedName>
    <definedName name="OSRRefD21_8x_1" localSheetId="62">'317'!$E$68:$E$69</definedName>
    <definedName name="OSRRefD21_8x_1" localSheetId="66">'321'!$E$57:$E$58</definedName>
    <definedName name="OSRRefD21_8x_1" localSheetId="68">'325'!$E$58</definedName>
    <definedName name="OSRRefD21_8x_1" localSheetId="58">'326'!$E$60</definedName>
    <definedName name="OSRRefD21_8x_1" localSheetId="51">'330'!$E$65</definedName>
    <definedName name="OSRRefD21_8x_1" localSheetId="56">'331'!$E$76:$E$77</definedName>
    <definedName name="OSRRefD21_8x_1" localSheetId="59">'332'!$E$61</definedName>
    <definedName name="OSRRefD21_8x_1" localSheetId="73">'405'!$E$60</definedName>
    <definedName name="OSRRefD21_8x_1" localSheetId="75">'411'!$E$53:$E$56</definedName>
    <definedName name="OSRRefD21_8x_1" localSheetId="79">'415'!$E$60</definedName>
    <definedName name="OSRRefD21_8x_1" localSheetId="80">'418'!$E$58:$E$59</definedName>
    <definedName name="OSRRefD21_8x_1" localSheetId="86">'430'!$E$54</definedName>
    <definedName name="OSRRefD21_8x_1" localSheetId="87">'433'!$E$60</definedName>
    <definedName name="OSRRefD21_8x_1" localSheetId="88">'444'!$E$60</definedName>
    <definedName name="OSRRefD21_8x_1" localSheetId="89">'450'!$E$60</definedName>
    <definedName name="OSRRefD21_8x_1" localSheetId="72">'491'!$E$61:$E$62</definedName>
    <definedName name="OSRRefD21_8x_1" localSheetId="85">'492'!$E$60</definedName>
    <definedName name="OSRRefD21_8x_1" localSheetId="91">'501'!$E$55</definedName>
    <definedName name="OSRRefD21_8x_1" localSheetId="39">'Div 2'!$E$55</definedName>
    <definedName name="OSRRefD21_8x_1" localSheetId="47">'Div 3'!$E$93</definedName>
    <definedName name="OSRRefD21_8x_1" localSheetId="70">'Div 4'!$E$63</definedName>
    <definedName name="OSRRefD21_8x_1" localSheetId="90">'Div 5'!$E$55</definedName>
    <definedName name="OSRRefD21_8x_1" localSheetId="61">'Div 6'!$E$68:$E$69</definedName>
    <definedName name="OSRRefD21_8x_1" localSheetId="2">Summary!$E$101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'204'!$F$57</definedName>
    <definedName name="OSRRefD21_8x_2" localSheetId="48">'300'!$F$89</definedName>
    <definedName name="OSRRefD21_8x_2" localSheetId="49">'300 &amp; 317'!$F$95</definedName>
    <definedName name="OSRRefD21_8x_2" localSheetId="50">'301'!$F$56</definedName>
    <definedName name="OSRRefD21_8x_2" localSheetId="52">'307'!$F$65</definedName>
    <definedName name="OSRRefD21_8x_2" localSheetId="53">'308'!$F$68:$F$70</definedName>
    <definedName name="OSRRefD21_8x_2" localSheetId="63">'310'!$F$60</definedName>
    <definedName name="OSRRefD21_8x_2" localSheetId="71">'310 &amp; 491'!$F$62:$F$63</definedName>
    <definedName name="OSRRefD21_8x_2" localSheetId="54">'311'!$F$68:$F$70</definedName>
    <definedName name="OSRRefD21_8x_2" localSheetId="57">'315'!$F$76:$F$77</definedName>
    <definedName name="OSRRefD21_8x_2" localSheetId="60">'316'!$F$61</definedName>
    <definedName name="OSRRefD21_8x_2" localSheetId="62">'317'!$F$68:$F$69</definedName>
    <definedName name="OSRRefD21_8x_2" localSheetId="66">'321'!$F$57:$F$58</definedName>
    <definedName name="OSRRefD21_8x_2" localSheetId="68">'325'!$F$58</definedName>
    <definedName name="OSRRefD21_8x_2" localSheetId="58">'326'!$F$60</definedName>
    <definedName name="OSRRefD21_8x_2" localSheetId="51">'330'!$F$65</definedName>
    <definedName name="OSRRefD21_8x_2" localSheetId="56">'331'!$F$76:$F$77</definedName>
    <definedName name="OSRRefD21_8x_2" localSheetId="59">'332'!$F$61</definedName>
    <definedName name="OSRRefD21_8x_2" localSheetId="73">'405'!$F$60</definedName>
    <definedName name="OSRRefD21_8x_2" localSheetId="75">'411'!$F$53:$F$56</definedName>
    <definedName name="OSRRefD21_8x_2" localSheetId="79">'415'!$F$60</definedName>
    <definedName name="OSRRefD21_8x_2" localSheetId="80">'418'!$F$58:$F$59</definedName>
    <definedName name="OSRRefD21_8x_2" localSheetId="86">'430'!$F$54</definedName>
    <definedName name="OSRRefD21_8x_2" localSheetId="87">'433'!$F$60</definedName>
    <definedName name="OSRRefD21_8x_2" localSheetId="88">'444'!$F$60</definedName>
    <definedName name="OSRRefD21_8x_2" localSheetId="89">'450'!$F$60</definedName>
    <definedName name="OSRRefD21_8x_2" localSheetId="72">'491'!$F$61:$F$62</definedName>
    <definedName name="OSRRefD21_8x_2" localSheetId="85">'492'!$F$60</definedName>
    <definedName name="OSRRefD21_8x_2" localSheetId="91">'501'!$F$55</definedName>
    <definedName name="OSRRefD21_8x_2" localSheetId="39">'Div 2'!$F$55</definedName>
    <definedName name="OSRRefD21_8x_2" localSheetId="47">'Div 3'!$F$93</definedName>
    <definedName name="OSRRefD21_8x_2" localSheetId="70">'Div 4'!$F$63</definedName>
    <definedName name="OSRRefD21_8x_2" localSheetId="90">'Div 5'!$F$55</definedName>
    <definedName name="OSRRefD21_8x_2" localSheetId="61">'Div 6'!$F$68:$F$69</definedName>
    <definedName name="OSRRefD21_8x_2" localSheetId="2">Summary!$F$101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'204'!$G$57</definedName>
    <definedName name="OSRRefD21_8x_3" localSheetId="48">'300'!$G$89</definedName>
    <definedName name="OSRRefD21_8x_3" localSheetId="49">'300 &amp; 317'!$G$95</definedName>
    <definedName name="OSRRefD21_8x_3" localSheetId="50">'301'!$G$56</definedName>
    <definedName name="OSRRefD21_8x_3" localSheetId="52">'307'!$G$65</definedName>
    <definedName name="OSRRefD21_8x_3" localSheetId="53">'308'!$G$68:$G$70</definedName>
    <definedName name="OSRRefD21_8x_3" localSheetId="63">'310'!$G$60</definedName>
    <definedName name="OSRRefD21_8x_3" localSheetId="71">'310 &amp; 491'!$G$62:$G$63</definedName>
    <definedName name="OSRRefD21_8x_3" localSheetId="54">'311'!$G$68:$G$70</definedName>
    <definedName name="OSRRefD21_8x_3" localSheetId="57">'315'!$G$76:$G$77</definedName>
    <definedName name="OSRRefD21_8x_3" localSheetId="60">'316'!$G$61</definedName>
    <definedName name="OSRRefD21_8x_3" localSheetId="62">'317'!$G$68:$G$69</definedName>
    <definedName name="OSRRefD21_8x_3" localSheetId="66">'321'!$G$57:$G$58</definedName>
    <definedName name="OSRRefD21_8x_3" localSheetId="68">'325'!$G$58</definedName>
    <definedName name="OSRRefD21_8x_3" localSheetId="58">'326'!$G$60</definedName>
    <definedName name="OSRRefD21_8x_3" localSheetId="51">'330'!$G$65</definedName>
    <definedName name="OSRRefD21_8x_3" localSheetId="56">'331'!$G$76:$G$77</definedName>
    <definedName name="OSRRefD21_8x_3" localSheetId="59">'332'!$G$61</definedName>
    <definedName name="OSRRefD21_8x_3" localSheetId="73">'405'!$G$60</definedName>
    <definedName name="OSRRefD21_8x_3" localSheetId="75">'411'!$G$53:$G$56</definedName>
    <definedName name="OSRRefD21_8x_3" localSheetId="79">'415'!$G$60</definedName>
    <definedName name="OSRRefD21_8x_3" localSheetId="80">'418'!$G$58:$G$59</definedName>
    <definedName name="OSRRefD21_8x_3" localSheetId="86">'430'!$G$54</definedName>
    <definedName name="OSRRefD21_8x_3" localSheetId="87">'433'!$G$60</definedName>
    <definedName name="OSRRefD21_8x_3" localSheetId="88">'444'!$G$60</definedName>
    <definedName name="OSRRefD21_8x_3" localSheetId="89">'450'!$G$60</definedName>
    <definedName name="OSRRefD21_8x_3" localSheetId="72">'491'!$G$61:$G$62</definedName>
    <definedName name="OSRRefD21_8x_3" localSheetId="85">'492'!$G$60</definedName>
    <definedName name="OSRRefD21_8x_3" localSheetId="91">'501'!$G$55</definedName>
    <definedName name="OSRRefD21_8x_3" localSheetId="39">'Div 2'!$G$55</definedName>
    <definedName name="OSRRefD21_8x_3" localSheetId="47">'Div 3'!$G$93</definedName>
    <definedName name="OSRRefD21_8x_3" localSheetId="70">'Div 4'!$G$63</definedName>
    <definedName name="OSRRefD21_8x_3" localSheetId="90">'Div 5'!$G$55</definedName>
    <definedName name="OSRRefD21_8x_3" localSheetId="61">'Div 6'!$G$68:$G$69</definedName>
    <definedName name="OSRRefD21_8x_3" localSheetId="2">Summary!$G$101</definedName>
    <definedName name="OSRRefD21_8x_4" localSheetId="41">'201'!$H$52</definedName>
    <definedName name="OSRRefD21_8x_4" localSheetId="42">'202'!$H$54</definedName>
    <definedName name="OSRRefD21_8x_4" localSheetId="43">'203'!$H$53:$H$55</definedName>
    <definedName name="OSRRefD21_8x_4" localSheetId="44">'204'!$H$57</definedName>
    <definedName name="OSRRefD21_8x_4" localSheetId="48">'300'!$H$89</definedName>
    <definedName name="OSRRefD21_8x_4" localSheetId="49">'300 &amp; 317'!$H$95</definedName>
    <definedName name="OSRRefD21_8x_4" localSheetId="50">'301'!$H$56</definedName>
    <definedName name="OSRRefD21_8x_4" localSheetId="52">'307'!$H$65</definedName>
    <definedName name="OSRRefD21_8x_4" localSheetId="53">'308'!$H$68:$H$70</definedName>
    <definedName name="OSRRefD21_8x_4" localSheetId="63">'310'!$H$60</definedName>
    <definedName name="OSRRefD21_8x_4" localSheetId="71">'310 &amp; 491'!$H$62:$H$63</definedName>
    <definedName name="OSRRefD21_8x_4" localSheetId="54">'311'!$H$68:$H$70</definedName>
    <definedName name="OSRRefD21_8x_4" localSheetId="57">'315'!$H$76:$H$77</definedName>
    <definedName name="OSRRefD21_8x_4" localSheetId="60">'316'!$H$61</definedName>
    <definedName name="OSRRefD21_8x_4" localSheetId="62">'317'!$H$68:$H$69</definedName>
    <definedName name="OSRRefD21_8x_4" localSheetId="66">'321'!$H$57:$H$58</definedName>
    <definedName name="OSRRefD21_8x_4" localSheetId="68">'325'!$H$58</definedName>
    <definedName name="OSRRefD21_8x_4" localSheetId="58">'326'!$H$60</definedName>
    <definedName name="OSRRefD21_8x_4" localSheetId="51">'330'!$H$65</definedName>
    <definedName name="OSRRefD21_8x_4" localSheetId="56">'331'!$H$76:$H$77</definedName>
    <definedName name="OSRRefD21_8x_4" localSheetId="59">'332'!$H$61</definedName>
    <definedName name="OSRRefD21_8x_4" localSheetId="73">'405'!$H$60</definedName>
    <definedName name="OSRRefD21_8x_4" localSheetId="75">'411'!$H$53:$H$56</definedName>
    <definedName name="OSRRefD21_8x_4" localSheetId="79">'415'!$H$60</definedName>
    <definedName name="OSRRefD21_8x_4" localSheetId="80">'418'!$H$58:$H$59</definedName>
    <definedName name="OSRRefD21_8x_4" localSheetId="86">'430'!$H$54</definedName>
    <definedName name="OSRRefD21_8x_4" localSheetId="87">'433'!$H$60</definedName>
    <definedName name="OSRRefD21_8x_4" localSheetId="88">'444'!$H$60</definedName>
    <definedName name="OSRRefD21_8x_4" localSheetId="89">'450'!$H$60</definedName>
    <definedName name="OSRRefD21_8x_4" localSheetId="72">'491'!$H$61:$H$62</definedName>
    <definedName name="OSRRefD21_8x_4" localSheetId="85">'492'!$H$60</definedName>
    <definedName name="OSRRefD21_8x_4" localSheetId="91">'501'!$H$55</definedName>
    <definedName name="OSRRefD21_8x_4" localSheetId="39">'Div 2'!$H$55</definedName>
    <definedName name="OSRRefD21_8x_4" localSheetId="47">'Div 3'!$H$93</definedName>
    <definedName name="OSRRefD21_8x_4" localSheetId="70">'Div 4'!$H$63</definedName>
    <definedName name="OSRRefD21_8x_4" localSheetId="90">'Div 5'!$H$55</definedName>
    <definedName name="OSRRefD21_8x_4" localSheetId="61">'Div 6'!$H$68:$H$69</definedName>
    <definedName name="OSRRefD21_8x_4" localSheetId="2">Summary!$H$101</definedName>
    <definedName name="OSRRefD21_8x_5" localSheetId="41">'201'!$I$52</definedName>
    <definedName name="OSRRefD21_8x_5" localSheetId="42">'202'!$I$54</definedName>
    <definedName name="OSRRefD21_8x_5" localSheetId="43">'203'!$I$53:$I$55</definedName>
    <definedName name="OSRRefD21_8x_5" localSheetId="44">'204'!$I$57</definedName>
    <definedName name="OSRRefD21_8x_5" localSheetId="48">'300'!$I$89</definedName>
    <definedName name="OSRRefD21_8x_5" localSheetId="49">'300 &amp; 317'!$I$95</definedName>
    <definedName name="OSRRefD21_8x_5" localSheetId="50">'301'!$I$56</definedName>
    <definedName name="OSRRefD21_8x_5" localSheetId="52">'307'!$I$65</definedName>
    <definedName name="OSRRefD21_8x_5" localSheetId="53">'308'!$I$68:$I$70</definedName>
    <definedName name="OSRRefD21_8x_5" localSheetId="63">'310'!$I$60</definedName>
    <definedName name="OSRRefD21_8x_5" localSheetId="71">'310 &amp; 491'!$I$62:$I$63</definedName>
    <definedName name="OSRRefD21_8x_5" localSheetId="54">'311'!$I$68:$I$70</definedName>
    <definedName name="OSRRefD21_8x_5" localSheetId="57">'315'!$I$76:$I$77</definedName>
    <definedName name="OSRRefD21_8x_5" localSheetId="60">'316'!$I$61</definedName>
    <definedName name="OSRRefD21_8x_5" localSheetId="62">'317'!$I$68:$I$69</definedName>
    <definedName name="OSRRefD21_8x_5" localSheetId="66">'321'!$I$57:$I$58</definedName>
    <definedName name="OSRRefD21_8x_5" localSheetId="68">'325'!$I$58</definedName>
    <definedName name="OSRRefD21_8x_5" localSheetId="58">'326'!$I$60</definedName>
    <definedName name="OSRRefD21_8x_5" localSheetId="51">'330'!$I$65</definedName>
    <definedName name="OSRRefD21_8x_5" localSheetId="56">'331'!$I$76:$I$77</definedName>
    <definedName name="OSRRefD21_8x_5" localSheetId="59">'332'!$I$61</definedName>
    <definedName name="OSRRefD21_8x_5" localSheetId="73">'405'!$I$60</definedName>
    <definedName name="OSRRefD21_8x_5" localSheetId="75">'411'!$I$53:$I$56</definedName>
    <definedName name="OSRRefD21_8x_5" localSheetId="79">'415'!$I$60</definedName>
    <definedName name="OSRRefD21_8x_5" localSheetId="80">'418'!$I$58:$I$59</definedName>
    <definedName name="OSRRefD21_8x_5" localSheetId="86">'430'!$I$54</definedName>
    <definedName name="OSRRefD21_8x_5" localSheetId="87">'433'!$I$60</definedName>
    <definedName name="OSRRefD21_8x_5" localSheetId="88">'444'!$I$60</definedName>
    <definedName name="OSRRefD21_8x_5" localSheetId="89">'450'!$I$60</definedName>
    <definedName name="OSRRefD21_8x_5" localSheetId="72">'491'!$I$61:$I$62</definedName>
    <definedName name="OSRRefD21_8x_5" localSheetId="85">'492'!$I$60</definedName>
    <definedName name="OSRRefD21_8x_5" localSheetId="91">'501'!$I$55</definedName>
    <definedName name="OSRRefD21_8x_5" localSheetId="39">'Div 2'!$I$55</definedName>
    <definedName name="OSRRefD21_8x_5" localSheetId="47">'Div 3'!$I$93</definedName>
    <definedName name="OSRRefD21_8x_5" localSheetId="70">'Div 4'!$I$63</definedName>
    <definedName name="OSRRefD21_8x_5" localSheetId="90">'Div 5'!$I$55</definedName>
    <definedName name="OSRRefD21_8x_5" localSheetId="61">'Div 6'!$I$68:$I$69</definedName>
    <definedName name="OSRRefD21_8x_5" localSheetId="2">Summary!$I$101</definedName>
    <definedName name="OSRRefD21_9_0x" localSheetId="41">'201'!$D$54:$I$54</definedName>
    <definedName name="OSRRefD21_9_0x" localSheetId="42">'202'!$D$56:$I$56</definedName>
    <definedName name="OSRRefD21_9_0x" localSheetId="43">'203'!$D$57:$I$57</definedName>
    <definedName name="OSRRefD21_9_0x" localSheetId="44">'204'!$D$59:$I$59</definedName>
    <definedName name="OSRRefD21_9_0x" localSheetId="48">'300'!$D$91:$I$91</definedName>
    <definedName name="OSRRefD21_9_0x" localSheetId="49">'300 &amp; 317'!$D$97:$I$97</definedName>
    <definedName name="OSRRefD21_9_0x" localSheetId="50">'301'!$D$58:$I$58</definedName>
    <definedName name="OSRRefD21_9_0x" localSheetId="52">'307'!$D$67:$I$67</definedName>
    <definedName name="OSRRefD21_9_0x" localSheetId="53">'308'!$D$72:$I$72</definedName>
    <definedName name="OSRRefD21_9_0x" localSheetId="63">'310'!$D$62:$I$62</definedName>
    <definedName name="OSRRefD21_9_0x" localSheetId="71">'310 &amp; 491'!$D$65:$I$65</definedName>
    <definedName name="OSRRefD21_9_0x" localSheetId="54">'311'!$D$72:$I$72</definedName>
    <definedName name="OSRRefD21_9_0x" localSheetId="57">'315'!$D$79:$I$79</definedName>
    <definedName name="OSRRefD21_9_0x" localSheetId="60">'316'!$D$63:$I$63</definedName>
    <definedName name="OSRRefD21_9_0x" localSheetId="62">'317'!$D$71:$I$71</definedName>
    <definedName name="OSRRefD21_9_0x" localSheetId="66">'321'!$D$60:$I$60</definedName>
    <definedName name="OSRRefD21_9_0x" localSheetId="68">'325'!$D$60:$I$60</definedName>
    <definedName name="OSRRefD21_9_0x" localSheetId="58">'326'!$D$62:$I$62</definedName>
    <definedName name="OSRRefD21_9_0x" localSheetId="51">'330'!$D$67:$I$67</definedName>
    <definedName name="OSRRefD21_9_0x" localSheetId="56">'331'!$D$79:$I$79</definedName>
    <definedName name="OSRRefD21_9_0x" localSheetId="59">'332'!$D$63:$I$63</definedName>
    <definedName name="OSRRefD21_9_0x" localSheetId="73">'405'!$D$62:$I$62</definedName>
    <definedName name="OSRRefD21_9_0x" localSheetId="75">'411'!$D$58:$I$58</definedName>
    <definedName name="OSRRefD21_9_0x" localSheetId="79">'415'!$D$62:$I$62</definedName>
    <definedName name="OSRRefD21_9_0x" localSheetId="80">'418'!$D$61:$I$61</definedName>
    <definedName name="OSRRefD21_9_0x" localSheetId="87">'433'!$D$62:$I$62</definedName>
    <definedName name="OSRRefD21_9_0x" localSheetId="88">'444'!$D$62:$I$62</definedName>
    <definedName name="OSRRefD21_9_0x" localSheetId="89">'450'!$D$62:$I$62</definedName>
    <definedName name="OSRRefD21_9_0x" localSheetId="72">'491'!$D$64:$I$64</definedName>
    <definedName name="OSRRefD21_9_0x" localSheetId="85">'492'!$D$62:$I$62</definedName>
    <definedName name="OSRRefD21_9_0x" localSheetId="91">'501'!$D$57:$I$57</definedName>
    <definedName name="OSRRefD21_9_0x" localSheetId="39">'Div 2'!$D$57:$I$57</definedName>
    <definedName name="OSRRefD21_9_0x" localSheetId="47">'Div 3'!$D$95:$I$95</definedName>
    <definedName name="OSRRefD21_9_0x" localSheetId="70">'Div 4'!$D$65:$I$65</definedName>
    <definedName name="OSRRefD21_9_0x" localSheetId="90">'Div 5'!$D$57:$I$57</definedName>
    <definedName name="OSRRefD21_9_0x" localSheetId="61">'Div 6'!$D$71:$I$71</definedName>
    <definedName name="OSRRefD21_9_0x" localSheetId="2">Summary!$D$103:$I$103</definedName>
    <definedName name="OSRRefD21_9_1x" localSheetId="41">'201'!$D$55:$I$55</definedName>
    <definedName name="OSRRefD21_9_1x" localSheetId="43">'203'!$D$58:$I$58</definedName>
    <definedName name="OSRRefD21_9_1x" localSheetId="52">'307'!$D$68:$I$68</definedName>
    <definedName name="OSRRefD21_9_1x" localSheetId="53">'308'!$D$73:$I$73</definedName>
    <definedName name="OSRRefD21_9_1x" localSheetId="54">'311'!$D$73:$I$73</definedName>
    <definedName name="OSRRefD21_9_1x" localSheetId="60">'316'!$D$64:$I$64</definedName>
    <definedName name="OSRRefD21_9_1x" localSheetId="66">'321'!$D$61:$I$61</definedName>
    <definedName name="OSRRefD21_9_1x" localSheetId="51">'330'!$D$68:$I$68</definedName>
    <definedName name="OSRRefD21_9_1x" localSheetId="59">'332'!$D$64:$I$64</definedName>
    <definedName name="OSRRefD21_9_1x" localSheetId="73">'405'!$D$63:$I$63</definedName>
    <definedName name="OSRRefD21_9_1x" localSheetId="75">'411'!$D$59:$I$59</definedName>
    <definedName name="OSRRefD21_9_1x" localSheetId="80">'418'!$D$62:$I$62</definedName>
    <definedName name="OSRRefD21_9_1x" localSheetId="91">'501'!$D$58:$I$58</definedName>
    <definedName name="OSRRefD21_9_1x" localSheetId="70">'Div 4'!$D$66:$I$66</definedName>
    <definedName name="OSRRefD21_9_1x" localSheetId="90">'Div 5'!$D$58:$I$58</definedName>
    <definedName name="OSRRefD21_9_2x" localSheetId="41">'201'!$D$56:$I$56</definedName>
    <definedName name="OSRRefD21_9_2x" localSheetId="60">'316'!$D$65:$I$65</definedName>
    <definedName name="OSRRefD21_9_2x" localSheetId="66">'321'!$D$62:$I$62</definedName>
    <definedName name="OSRRefD21_9_2x" localSheetId="59">'332'!$D$65:$I$65</definedName>
    <definedName name="OSRRefD21_9_2x" localSheetId="80">'418'!$D$63:$I$63</definedName>
    <definedName name="OSRRefD21_9_3x" localSheetId="60">'316'!$D$66:$I$66</definedName>
    <definedName name="OSRRefD21_9_3x" localSheetId="66">'321'!$D$63:$I$63</definedName>
    <definedName name="OSRRefD21_9_3x" localSheetId="59">'332'!$D$66:$I$66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4">'204'!$D$59</definedName>
    <definedName name="OSRRefD21_9x_0" localSheetId="48">'300'!$D$91</definedName>
    <definedName name="OSRRefD21_9x_0" localSheetId="49">'300 &amp; 317'!$D$97</definedName>
    <definedName name="OSRRefD21_9x_0" localSheetId="50">'301'!$D$58</definedName>
    <definedName name="OSRRefD21_9x_0" localSheetId="52">'307'!$D$67:$D$68</definedName>
    <definedName name="OSRRefD21_9x_0" localSheetId="53">'308'!$D$72:$D$73</definedName>
    <definedName name="OSRRefD21_9x_0" localSheetId="63">'310'!$D$62</definedName>
    <definedName name="OSRRefD21_9x_0" localSheetId="71">'310 &amp; 491'!$D$65</definedName>
    <definedName name="OSRRefD21_9x_0" localSheetId="54">'311'!$D$72:$D$73</definedName>
    <definedName name="OSRRefD21_9x_0" localSheetId="57">'315'!$D$79</definedName>
    <definedName name="OSRRefD21_9x_0" localSheetId="60">'316'!$D$63:$D$66</definedName>
    <definedName name="OSRRefD21_9x_0" localSheetId="62">'317'!$D$71</definedName>
    <definedName name="OSRRefD21_9x_0" localSheetId="66">'321'!$D$60:$D$63</definedName>
    <definedName name="OSRRefD21_9x_0" localSheetId="68">'325'!$D$60</definedName>
    <definedName name="OSRRefD21_9x_0" localSheetId="58">'326'!$D$62</definedName>
    <definedName name="OSRRefD21_9x_0" localSheetId="51">'330'!$D$67:$D$68</definedName>
    <definedName name="OSRRefD21_9x_0" localSheetId="56">'331'!$D$79</definedName>
    <definedName name="OSRRefD21_9x_0" localSheetId="59">'332'!$D$63:$D$66</definedName>
    <definedName name="OSRRefD21_9x_0" localSheetId="73">'405'!$D$62:$D$63</definedName>
    <definedName name="OSRRefD21_9x_0" localSheetId="75">'411'!$D$58:$D$59</definedName>
    <definedName name="OSRRefD21_9x_0" localSheetId="79">'415'!$D$62</definedName>
    <definedName name="OSRRefD21_9x_0" localSheetId="80">'418'!$D$61:$D$63</definedName>
    <definedName name="OSRRefD21_9x_0" localSheetId="87">'433'!$D$62</definedName>
    <definedName name="OSRRefD21_9x_0" localSheetId="88">'444'!$D$62</definedName>
    <definedName name="OSRRefD21_9x_0" localSheetId="89">'450'!$D$62</definedName>
    <definedName name="OSRRefD21_9x_0" localSheetId="72">'491'!$D$64</definedName>
    <definedName name="OSRRefD21_9x_0" localSheetId="85">'492'!$D$62</definedName>
    <definedName name="OSRRefD21_9x_0" localSheetId="91">'501'!$D$57:$D$58</definedName>
    <definedName name="OSRRefD21_9x_0" localSheetId="39">'Div 2'!$D$57</definedName>
    <definedName name="OSRRefD21_9x_0" localSheetId="47">'Div 3'!$D$95</definedName>
    <definedName name="OSRRefD21_9x_0" localSheetId="70">'Div 4'!$D$65:$D$66</definedName>
    <definedName name="OSRRefD21_9x_0" localSheetId="90">'Div 5'!$D$57:$D$58</definedName>
    <definedName name="OSRRefD21_9x_0" localSheetId="61">'Div 6'!$D$71</definedName>
    <definedName name="OSRRefD21_9x_0" localSheetId="2">Summary!$D$103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4">'204'!$E$59</definedName>
    <definedName name="OSRRefD21_9x_1" localSheetId="48">'300'!$E$91</definedName>
    <definedName name="OSRRefD21_9x_1" localSheetId="49">'300 &amp; 317'!$E$97</definedName>
    <definedName name="OSRRefD21_9x_1" localSheetId="50">'301'!$E$58</definedName>
    <definedName name="OSRRefD21_9x_1" localSheetId="52">'307'!$E$67:$E$68</definedName>
    <definedName name="OSRRefD21_9x_1" localSheetId="53">'308'!$E$72:$E$73</definedName>
    <definedName name="OSRRefD21_9x_1" localSheetId="63">'310'!$E$62</definedName>
    <definedName name="OSRRefD21_9x_1" localSheetId="71">'310 &amp; 491'!$E$65</definedName>
    <definedName name="OSRRefD21_9x_1" localSheetId="54">'311'!$E$72:$E$73</definedName>
    <definedName name="OSRRefD21_9x_1" localSheetId="57">'315'!$E$79</definedName>
    <definedName name="OSRRefD21_9x_1" localSheetId="60">'316'!$E$63:$E$66</definedName>
    <definedName name="OSRRefD21_9x_1" localSheetId="62">'317'!$E$71</definedName>
    <definedName name="OSRRefD21_9x_1" localSheetId="66">'321'!$E$60:$E$63</definedName>
    <definedName name="OSRRefD21_9x_1" localSheetId="68">'325'!$E$60</definedName>
    <definedName name="OSRRefD21_9x_1" localSheetId="58">'326'!$E$62</definedName>
    <definedName name="OSRRefD21_9x_1" localSheetId="51">'330'!$E$67:$E$68</definedName>
    <definedName name="OSRRefD21_9x_1" localSheetId="56">'331'!$E$79</definedName>
    <definedName name="OSRRefD21_9x_1" localSheetId="59">'332'!$E$63:$E$66</definedName>
    <definedName name="OSRRefD21_9x_1" localSheetId="73">'405'!$E$62:$E$63</definedName>
    <definedName name="OSRRefD21_9x_1" localSheetId="75">'411'!$E$58:$E$59</definedName>
    <definedName name="OSRRefD21_9x_1" localSheetId="79">'415'!$E$62</definedName>
    <definedName name="OSRRefD21_9x_1" localSheetId="80">'418'!$E$61:$E$63</definedName>
    <definedName name="OSRRefD21_9x_1" localSheetId="87">'433'!$E$62</definedName>
    <definedName name="OSRRefD21_9x_1" localSheetId="88">'444'!$E$62</definedName>
    <definedName name="OSRRefD21_9x_1" localSheetId="89">'450'!$E$62</definedName>
    <definedName name="OSRRefD21_9x_1" localSheetId="72">'491'!$E$64</definedName>
    <definedName name="OSRRefD21_9x_1" localSheetId="85">'492'!$E$62</definedName>
    <definedName name="OSRRefD21_9x_1" localSheetId="91">'501'!$E$57:$E$58</definedName>
    <definedName name="OSRRefD21_9x_1" localSheetId="39">'Div 2'!$E$57</definedName>
    <definedName name="OSRRefD21_9x_1" localSheetId="47">'Div 3'!$E$95</definedName>
    <definedName name="OSRRefD21_9x_1" localSheetId="70">'Div 4'!$E$65:$E$66</definedName>
    <definedName name="OSRRefD21_9x_1" localSheetId="90">'Div 5'!$E$57:$E$58</definedName>
    <definedName name="OSRRefD21_9x_1" localSheetId="61">'Div 6'!$E$71</definedName>
    <definedName name="OSRRefD21_9x_1" localSheetId="2">Summary!$E$103</definedName>
    <definedName name="OSRRefD21_9x_2" localSheetId="41">'201'!$F$54:$F$56</definedName>
    <definedName name="OSRRefD21_9x_2" localSheetId="42">'202'!$F$56</definedName>
    <definedName name="OSRRefD21_9x_2" localSheetId="43">'203'!$F$57:$F$58</definedName>
    <definedName name="OSRRefD21_9x_2" localSheetId="44">'204'!$F$59</definedName>
    <definedName name="OSRRefD21_9x_2" localSheetId="48">'300'!$F$91</definedName>
    <definedName name="OSRRefD21_9x_2" localSheetId="49">'300 &amp; 317'!$F$97</definedName>
    <definedName name="OSRRefD21_9x_2" localSheetId="50">'301'!$F$58</definedName>
    <definedName name="OSRRefD21_9x_2" localSheetId="52">'307'!$F$67:$F$68</definedName>
    <definedName name="OSRRefD21_9x_2" localSheetId="53">'308'!$F$72:$F$73</definedName>
    <definedName name="OSRRefD21_9x_2" localSheetId="63">'310'!$F$62</definedName>
    <definedName name="OSRRefD21_9x_2" localSheetId="71">'310 &amp; 491'!$F$65</definedName>
    <definedName name="OSRRefD21_9x_2" localSheetId="54">'311'!$F$72:$F$73</definedName>
    <definedName name="OSRRefD21_9x_2" localSheetId="57">'315'!$F$79</definedName>
    <definedName name="OSRRefD21_9x_2" localSheetId="60">'316'!$F$63:$F$66</definedName>
    <definedName name="OSRRefD21_9x_2" localSheetId="62">'317'!$F$71</definedName>
    <definedName name="OSRRefD21_9x_2" localSheetId="66">'321'!$F$60:$F$63</definedName>
    <definedName name="OSRRefD21_9x_2" localSheetId="68">'325'!$F$60</definedName>
    <definedName name="OSRRefD21_9x_2" localSheetId="58">'326'!$F$62</definedName>
    <definedName name="OSRRefD21_9x_2" localSheetId="51">'330'!$F$67:$F$68</definedName>
    <definedName name="OSRRefD21_9x_2" localSheetId="56">'331'!$F$79</definedName>
    <definedName name="OSRRefD21_9x_2" localSheetId="59">'332'!$F$63:$F$66</definedName>
    <definedName name="OSRRefD21_9x_2" localSheetId="73">'405'!$F$62:$F$63</definedName>
    <definedName name="OSRRefD21_9x_2" localSheetId="75">'411'!$F$58:$F$59</definedName>
    <definedName name="OSRRefD21_9x_2" localSheetId="79">'415'!$F$62</definedName>
    <definedName name="OSRRefD21_9x_2" localSheetId="80">'418'!$F$61:$F$63</definedName>
    <definedName name="OSRRefD21_9x_2" localSheetId="87">'433'!$F$62</definedName>
    <definedName name="OSRRefD21_9x_2" localSheetId="88">'444'!$F$62</definedName>
    <definedName name="OSRRefD21_9x_2" localSheetId="89">'450'!$F$62</definedName>
    <definedName name="OSRRefD21_9x_2" localSheetId="72">'491'!$F$64</definedName>
    <definedName name="OSRRefD21_9x_2" localSheetId="85">'492'!$F$62</definedName>
    <definedName name="OSRRefD21_9x_2" localSheetId="91">'501'!$F$57:$F$58</definedName>
    <definedName name="OSRRefD21_9x_2" localSheetId="39">'Div 2'!$F$57</definedName>
    <definedName name="OSRRefD21_9x_2" localSheetId="47">'Div 3'!$F$95</definedName>
    <definedName name="OSRRefD21_9x_2" localSheetId="70">'Div 4'!$F$65:$F$66</definedName>
    <definedName name="OSRRefD21_9x_2" localSheetId="90">'Div 5'!$F$57:$F$58</definedName>
    <definedName name="OSRRefD21_9x_2" localSheetId="61">'Div 6'!$F$71</definedName>
    <definedName name="OSRRefD21_9x_2" localSheetId="2">Summary!$F$103</definedName>
    <definedName name="OSRRefD21_9x_3" localSheetId="41">'201'!$G$54:$G$56</definedName>
    <definedName name="OSRRefD21_9x_3" localSheetId="42">'202'!$G$56</definedName>
    <definedName name="OSRRefD21_9x_3" localSheetId="43">'203'!$G$57:$G$58</definedName>
    <definedName name="OSRRefD21_9x_3" localSheetId="44">'204'!$G$59</definedName>
    <definedName name="OSRRefD21_9x_3" localSheetId="48">'300'!$G$91</definedName>
    <definedName name="OSRRefD21_9x_3" localSheetId="49">'300 &amp; 317'!$G$97</definedName>
    <definedName name="OSRRefD21_9x_3" localSheetId="50">'301'!$G$58</definedName>
    <definedName name="OSRRefD21_9x_3" localSheetId="52">'307'!$G$67:$G$68</definedName>
    <definedName name="OSRRefD21_9x_3" localSheetId="53">'308'!$G$72:$G$73</definedName>
    <definedName name="OSRRefD21_9x_3" localSheetId="63">'310'!$G$62</definedName>
    <definedName name="OSRRefD21_9x_3" localSheetId="71">'310 &amp; 491'!$G$65</definedName>
    <definedName name="OSRRefD21_9x_3" localSheetId="54">'311'!$G$72:$G$73</definedName>
    <definedName name="OSRRefD21_9x_3" localSheetId="57">'315'!$G$79</definedName>
    <definedName name="OSRRefD21_9x_3" localSheetId="60">'316'!$G$63:$G$66</definedName>
    <definedName name="OSRRefD21_9x_3" localSheetId="62">'317'!$G$71</definedName>
    <definedName name="OSRRefD21_9x_3" localSheetId="66">'321'!$G$60:$G$63</definedName>
    <definedName name="OSRRefD21_9x_3" localSheetId="68">'325'!$G$60</definedName>
    <definedName name="OSRRefD21_9x_3" localSheetId="58">'326'!$G$62</definedName>
    <definedName name="OSRRefD21_9x_3" localSheetId="51">'330'!$G$67:$G$68</definedName>
    <definedName name="OSRRefD21_9x_3" localSheetId="56">'331'!$G$79</definedName>
    <definedName name="OSRRefD21_9x_3" localSheetId="59">'332'!$G$63:$G$66</definedName>
    <definedName name="OSRRefD21_9x_3" localSheetId="73">'405'!$G$62:$G$63</definedName>
    <definedName name="OSRRefD21_9x_3" localSheetId="75">'411'!$G$58:$G$59</definedName>
    <definedName name="OSRRefD21_9x_3" localSheetId="79">'415'!$G$62</definedName>
    <definedName name="OSRRefD21_9x_3" localSheetId="80">'418'!$G$61:$G$63</definedName>
    <definedName name="OSRRefD21_9x_3" localSheetId="87">'433'!$G$62</definedName>
    <definedName name="OSRRefD21_9x_3" localSheetId="88">'444'!$G$62</definedName>
    <definedName name="OSRRefD21_9x_3" localSheetId="89">'450'!$G$62</definedName>
    <definedName name="OSRRefD21_9x_3" localSheetId="72">'491'!$G$64</definedName>
    <definedName name="OSRRefD21_9x_3" localSheetId="85">'492'!$G$62</definedName>
    <definedName name="OSRRefD21_9x_3" localSheetId="91">'501'!$G$57:$G$58</definedName>
    <definedName name="OSRRefD21_9x_3" localSheetId="39">'Div 2'!$G$57</definedName>
    <definedName name="OSRRefD21_9x_3" localSheetId="47">'Div 3'!$G$95</definedName>
    <definedName name="OSRRefD21_9x_3" localSheetId="70">'Div 4'!$G$65:$G$66</definedName>
    <definedName name="OSRRefD21_9x_3" localSheetId="90">'Div 5'!$G$57:$G$58</definedName>
    <definedName name="OSRRefD21_9x_3" localSheetId="61">'Div 6'!$G$71</definedName>
    <definedName name="OSRRefD21_9x_3" localSheetId="2">Summary!$G$103</definedName>
    <definedName name="OSRRefD21_9x_4" localSheetId="41">'201'!$H$54:$H$56</definedName>
    <definedName name="OSRRefD21_9x_4" localSheetId="42">'202'!$H$56</definedName>
    <definedName name="OSRRefD21_9x_4" localSheetId="43">'203'!$H$57:$H$58</definedName>
    <definedName name="OSRRefD21_9x_4" localSheetId="44">'204'!$H$59</definedName>
    <definedName name="OSRRefD21_9x_4" localSheetId="48">'300'!$H$91</definedName>
    <definedName name="OSRRefD21_9x_4" localSheetId="49">'300 &amp; 317'!$H$97</definedName>
    <definedName name="OSRRefD21_9x_4" localSheetId="50">'301'!$H$58</definedName>
    <definedName name="OSRRefD21_9x_4" localSheetId="52">'307'!$H$67:$H$68</definedName>
    <definedName name="OSRRefD21_9x_4" localSheetId="53">'308'!$H$72:$H$73</definedName>
    <definedName name="OSRRefD21_9x_4" localSheetId="63">'310'!$H$62</definedName>
    <definedName name="OSRRefD21_9x_4" localSheetId="71">'310 &amp; 491'!$H$65</definedName>
    <definedName name="OSRRefD21_9x_4" localSheetId="54">'311'!$H$72:$H$73</definedName>
    <definedName name="OSRRefD21_9x_4" localSheetId="57">'315'!$H$79</definedName>
    <definedName name="OSRRefD21_9x_4" localSheetId="60">'316'!$H$63:$H$66</definedName>
    <definedName name="OSRRefD21_9x_4" localSheetId="62">'317'!$H$71</definedName>
    <definedName name="OSRRefD21_9x_4" localSheetId="66">'321'!$H$60:$H$63</definedName>
    <definedName name="OSRRefD21_9x_4" localSheetId="68">'325'!$H$60</definedName>
    <definedName name="OSRRefD21_9x_4" localSheetId="58">'326'!$H$62</definedName>
    <definedName name="OSRRefD21_9x_4" localSheetId="51">'330'!$H$67:$H$68</definedName>
    <definedName name="OSRRefD21_9x_4" localSheetId="56">'331'!$H$79</definedName>
    <definedName name="OSRRefD21_9x_4" localSheetId="59">'332'!$H$63:$H$66</definedName>
    <definedName name="OSRRefD21_9x_4" localSheetId="73">'405'!$H$62:$H$63</definedName>
    <definedName name="OSRRefD21_9x_4" localSheetId="75">'411'!$H$58:$H$59</definedName>
    <definedName name="OSRRefD21_9x_4" localSheetId="79">'415'!$H$62</definedName>
    <definedName name="OSRRefD21_9x_4" localSheetId="80">'418'!$H$61:$H$63</definedName>
    <definedName name="OSRRefD21_9x_4" localSheetId="87">'433'!$H$62</definedName>
    <definedName name="OSRRefD21_9x_4" localSheetId="88">'444'!$H$62</definedName>
    <definedName name="OSRRefD21_9x_4" localSheetId="89">'450'!$H$62</definedName>
    <definedName name="OSRRefD21_9x_4" localSheetId="72">'491'!$H$64</definedName>
    <definedName name="OSRRefD21_9x_4" localSheetId="85">'492'!$H$62</definedName>
    <definedName name="OSRRefD21_9x_4" localSheetId="91">'501'!$H$57:$H$58</definedName>
    <definedName name="OSRRefD21_9x_4" localSheetId="39">'Div 2'!$H$57</definedName>
    <definedName name="OSRRefD21_9x_4" localSheetId="47">'Div 3'!$H$95</definedName>
    <definedName name="OSRRefD21_9x_4" localSheetId="70">'Div 4'!$H$65:$H$66</definedName>
    <definedName name="OSRRefD21_9x_4" localSheetId="90">'Div 5'!$H$57:$H$58</definedName>
    <definedName name="OSRRefD21_9x_4" localSheetId="61">'Div 6'!$H$71</definedName>
    <definedName name="OSRRefD21_9x_4" localSheetId="2">Summary!$H$103</definedName>
    <definedName name="OSRRefD21_9x_5" localSheetId="41">'201'!$I$54:$I$56</definedName>
    <definedName name="OSRRefD21_9x_5" localSheetId="42">'202'!$I$56</definedName>
    <definedName name="OSRRefD21_9x_5" localSheetId="43">'203'!$I$57:$I$58</definedName>
    <definedName name="OSRRefD21_9x_5" localSheetId="44">'204'!$I$59</definedName>
    <definedName name="OSRRefD21_9x_5" localSheetId="48">'300'!$I$91</definedName>
    <definedName name="OSRRefD21_9x_5" localSheetId="49">'300 &amp; 317'!$I$97</definedName>
    <definedName name="OSRRefD21_9x_5" localSheetId="50">'301'!$I$58</definedName>
    <definedName name="OSRRefD21_9x_5" localSheetId="52">'307'!$I$67:$I$68</definedName>
    <definedName name="OSRRefD21_9x_5" localSheetId="53">'308'!$I$72:$I$73</definedName>
    <definedName name="OSRRefD21_9x_5" localSheetId="63">'310'!$I$62</definedName>
    <definedName name="OSRRefD21_9x_5" localSheetId="71">'310 &amp; 491'!$I$65</definedName>
    <definedName name="OSRRefD21_9x_5" localSheetId="54">'311'!$I$72:$I$73</definedName>
    <definedName name="OSRRefD21_9x_5" localSheetId="57">'315'!$I$79</definedName>
    <definedName name="OSRRefD21_9x_5" localSheetId="60">'316'!$I$63:$I$66</definedName>
    <definedName name="OSRRefD21_9x_5" localSheetId="62">'317'!$I$71</definedName>
    <definedName name="OSRRefD21_9x_5" localSheetId="66">'321'!$I$60:$I$63</definedName>
    <definedName name="OSRRefD21_9x_5" localSheetId="68">'325'!$I$60</definedName>
    <definedName name="OSRRefD21_9x_5" localSheetId="58">'326'!$I$62</definedName>
    <definedName name="OSRRefD21_9x_5" localSheetId="51">'330'!$I$67:$I$68</definedName>
    <definedName name="OSRRefD21_9x_5" localSheetId="56">'331'!$I$79</definedName>
    <definedName name="OSRRefD21_9x_5" localSheetId="59">'332'!$I$63:$I$66</definedName>
    <definedName name="OSRRefD21_9x_5" localSheetId="73">'405'!$I$62:$I$63</definedName>
    <definedName name="OSRRefD21_9x_5" localSheetId="75">'411'!$I$58:$I$59</definedName>
    <definedName name="OSRRefD21_9x_5" localSheetId="79">'415'!$I$62</definedName>
    <definedName name="OSRRefD21_9x_5" localSheetId="80">'418'!$I$61:$I$63</definedName>
    <definedName name="OSRRefD21_9x_5" localSheetId="87">'433'!$I$62</definedName>
    <definedName name="OSRRefD21_9x_5" localSheetId="88">'444'!$I$62</definedName>
    <definedName name="OSRRefD21_9x_5" localSheetId="89">'450'!$I$62</definedName>
    <definedName name="OSRRefD21_9x_5" localSheetId="72">'491'!$I$64</definedName>
    <definedName name="OSRRefD21_9x_5" localSheetId="85">'492'!$I$62</definedName>
    <definedName name="OSRRefD21_9x_5" localSheetId="91">'501'!$I$57:$I$58</definedName>
    <definedName name="OSRRefD21_9x_5" localSheetId="39">'Div 2'!$I$57</definedName>
    <definedName name="OSRRefD21_9x_5" localSheetId="47">'Div 3'!$I$95</definedName>
    <definedName name="OSRRefD21_9x_5" localSheetId="70">'Div 4'!$I$65:$I$66</definedName>
    <definedName name="OSRRefD21_9x_5" localSheetId="90">'Div 5'!$I$57:$I$58</definedName>
    <definedName name="OSRRefD21_9x_5" localSheetId="61">'Div 6'!$I$71</definedName>
    <definedName name="OSRRefD21_9x_5" localSheetId="2">Summary!$I$103</definedName>
    <definedName name="OSRRefD23_0x" localSheetId="38">'100'!$D$19:$I$19</definedName>
    <definedName name="OSRRefD23_0x" localSheetId="40">'200'!$D$28:$I$28</definedName>
    <definedName name="OSRRefD23_0x" localSheetId="41">'201'!$D$70:$I$70</definedName>
    <definedName name="OSRRefD23_0x" localSheetId="42">'202'!$D$64:$I$64</definedName>
    <definedName name="OSRRefD23_0x" localSheetId="43">'203'!$D$71:$I$71</definedName>
    <definedName name="OSRRefD23_0x" localSheetId="44">'204'!$D$61:$I$61</definedName>
    <definedName name="OSRRefD23_0x" localSheetId="45">'205'!$D$55:$I$55</definedName>
    <definedName name="OSRRefD23_0x" localSheetId="46">'206'!$D$50:$I$50</definedName>
    <definedName name="OSRRefD23_0x" localSheetId="48">'300'!$D$142:$I$142</definedName>
    <definedName name="OSRRefD23_0x" localSheetId="49">'300 &amp; 317'!$D$148:$I$148</definedName>
    <definedName name="OSRRefD23_0x" localSheetId="50">'301'!$D$96:$I$96</definedName>
    <definedName name="OSRRefD23_0x" localSheetId="52">'307'!$D$80:$I$80</definedName>
    <definedName name="OSRRefD23_0x" localSheetId="53">'308'!$D$83:$I$83</definedName>
    <definedName name="OSRRefD23_0x" localSheetId="64">'309'!$D$34:$I$34</definedName>
    <definedName name="OSRRefD23_0x" localSheetId="63">'310'!$D$88:$I$88</definedName>
    <definedName name="OSRRefD23_0x" localSheetId="71">'310 &amp; 491'!$D$107:$I$107</definedName>
    <definedName name="OSRRefD23_0x" localSheetId="54">'311'!$D$83:$I$83</definedName>
    <definedName name="OSRRefD23_0x" localSheetId="65">'313'!$D$25:$I$25</definedName>
    <definedName name="OSRRefD23_0x" localSheetId="57">'315'!$D$104:$I$104</definedName>
    <definedName name="OSRRefD23_0x" localSheetId="60">'316'!$D$70:$I$70</definedName>
    <definedName name="OSRRefD23_0x" localSheetId="62">'317'!$D$73:$I$73</definedName>
    <definedName name="OSRRefD23_0x" localSheetId="66">'321'!$D$69:$I$69</definedName>
    <definedName name="OSRRefD23_0x" localSheetId="67">'322'!$D$21:$I$21</definedName>
    <definedName name="OSRRefD23_0x" localSheetId="55">'324'!$D$22:$I$22</definedName>
    <definedName name="OSRRefD23_0x" localSheetId="68">'325'!$D$82:$I$82</definedName>
    <definedName name="OSRRefD23_0x" localSheetId="58">'326'!$D$86:$I$86</definedName>
    <definedName name="OSRRefD23_0x" localSheetId="69">'327'!$D$27:$I$27</definedName>
    <definedName name="OSRRefD23_0x" localSheetId="51">'330'!$D$80:$I$80</definedName>
    <definedName name="OSRRefD23_0x" localSheetId="56">'331'!$D$115:$I$115</definedName>
    <definedName name="OSRRefD23_0x" localSheetId="59">'332'!$D$70:$I$70</definedName>
    <definedName name="OSRRefD23_0x" localSheetId="73">'405'!$D$88:$I$88</definedName>
    <definedName name="OSRRefD23_0x" localSheetId="74">'406'!$D$21:$I$21</definedName>
    <definedName name="OSRRefD23_0x" localSheetId="75">'411'!$D$71:$I$71</definedName>
    <definedName name="OSRRefD23_0x" localSheetId="76">'412'!$D$25:$I$25</definedName>
    <definedName name="OSRRefD23_0x" localSheetId="77">'413'!$D$23:$I$23</definedName>
    <definedName name="OSRRefD23_0x" localSheetId="78">'414'!$D$23:$I$23</definedName>
    <definedName name="OSRRefD23_0x" localSheetId="79">'415'!$D$89:$I$89</definedName>
    <definedName name="OSRRefD23_0x" localSheetId="80">'418'!$D$84:$I$84</definedName>
    <definedName name="OSRRefD23_0x" localSheetId="81">'423'!$D$45:$I$45</definedName>
    <definedName name="OSRRefD23_0x" localSheetId="82">'424'!$D$23:$I$23</definedName>
    <definedName name="OSRRefD23_0x" localSheetId="84">'425'!$D$31:$I$31</definedName>
    <definedName name="OSRRefD23_0x" localSheetId="86">'430'!$D$56:$I$56</definedName>
    <definedName name="OSRRefD23_0x" localSheetId="87">'433'!$D$88:$I$88</definedName>
    <definedName name="OSRRefD23_0x" localSheetId="88">'444'!$D$87:$I$87</definedName>
    <definedName name="OSRRefD23_0x" localSheetId="89">'450'!$D$88:$I$88</definedName>
    <definedName name="OSRRefD23_0x" localSheetId="83">'455'!$D$19:$I$19</definedName>
    <definedName name="OSRRefD23_0x" localSheetId="72">'491'!$D$104:$I$104</definedName>
    <definedName name="OSRRefD23_0x" localSheetId="85">'492'!$D$94:$I$94</definedName>
    <definedName name="OSRRefD23_0x" localSheetId="91">'501'!$D$70:$I$70</definedName>
    <definedName name="OSRRefD23_0x" localSheetId="5">'Div 1'!$D$19:$I$19</definedName>
    <definedName name="OSRRefD23_0x" localSheetId="39">'Div 2'!$D$92:$I$92</definedName>
    <definedName name="OSRRefD23_0x" localSheetId="47">'Div 3'!$D$149:$I$149</definedName>
    <definedName name="OSRRefD23_0x" localSheetId="70">'Div 4'!$D$112:$I$112</definedName>
    <definedName name="OSRRefD23_0x" localSheetId="90">'Div 5'!$D$70:$I$70</definedName>
    <definedName name="OSRRefD23_0x" localSheetId="61">'Div 6'!$D$73:$I$73</definedName>
    <definedName name="OSRRefD23_0x" localSheetId="2">Summary!$D$164:$I$164</definedName>
    <definedName name="OSRRefD28_0x" localSheetId="38">'100'!$D$24:$I$24</definedName>
    <definedName name="OSRRefD28_0x" localSheetId="40">'200'!$D$33:$I$33</definedName>
    <definedName name="OSRRefD28_0x" localSheetId="41">'201'!$D$75:$I$75</definedName>
    <definedName name="OSRRefD28_0x" localSheetId="42">'202'!$D$69:$I$69</definedName>
    <definedName name="OSRRefD28_0x" localSheetId="43">'203'!$D$76:$I$76</definedName>
    <definedName name="OSRRefD28_0x" localSheetId="44">'204'!$D$66:$I$66</definedName>
    <definedName name="OSRRefD28_0x" localSheetId="45">'205'!$D$60:$I$60</definedName>
    <definedName name="OSRRefD28_0x" localSheetId="46">'206'!$D$55:$I$55</definedName>
    <definedName name="OSRRefD28_0x" localSheetId="48">'300'!$D$147:$I$147</definedName>
    <definedName name="OSRRefD28_0x" localSheetId="49">'300 &amp; 317'!$D$153:$I$153</definedName>
    <definedName name="OSRRefD28_0x" localSheetId="50">'301'!$D$101:$I$101</definedName>
    <definedName name="OSRRefD28_0x" localSheetId="52">'307'!$D$85:$I$85</definedName>
    <definedName name="OSRRefD28_0x" localSheetId="53">'308'!$D$88:$I$88</definedName>
    <definedName name="OSRRefD28_0x" localSheetId="64">'309'!$D$39:$I$39</definedName>
    <definedName name="OSRRefD28_0x" localSheetId="63">'310'!$D$93:$I$93</definedName>
    <definedName name="OSRRefD28_0x" localSheetId="71">'310 &amp; 491'!$D$112:$I$112</definedName>
    <definedName name="OSRRefD28_0x" localSheetId="54">'311'!$D$88:$I$88</definedName>
    <definedName name="OSRRefD28_0x" localSheetId="65">'313'!$D$30:$I$30</definedName>
    <definedName name="OSRRefD28_0x" localSheetId="57">'315'!$D$109:$I$109</definedName>
    <definedName name="OSRRefD28_0x" localSheetId="60">'316'!$D$75:$I$75</definedName>
    <definedName name="OSRRefD28_0x" localSheetId="62">'317'!$D$78:$I$78</definedName>
    <definedName name="OSRRefD28_0x" localSheetId="66">'321'!$D$74:$I$74</definedName>
    <definedName name="OSRRefD28_0x" localSheetId="67">'322'!$D$26:$I$26</definedName>
    <definedName name="OSRRefD28_0x" localSheetId="55">'324'!$D$27:$I$27</definedName>
    <definedName name="OSRRefD28_0x" localSheetId="68">'325'!$D$87:$I$87</definedName>
    <definedName name="OSRRefD28_0x" localSheetId="58">'326'!$D$91:$I$91</definedName>
    <definedName name="OSRRefD28_0x" localSheetId="69">'327'!$D$32:$I$32</definedName>
    <definedName name="OSRRefD28_0x" localSheetId="51">'330'!$D$85:$I$85</definedName>
    <definedName name="OSRRefD28_0x" localSheetId="56">'331'!$D$120:$I$120</definedName>
    <definedName name="OSRRefD28_0x" localSheetId="59">'332'!$D$75:$I$75</definedName>
    <definedName name="OSRRefD28_0x" localSheetId="73">'405'!$D$93:$I$93</definedName>
    <definedName name="OSRRefD28_0x" localSheetId="74">'406'!$D$26:$I$26</definedName>
    <definedName name="OSRRefD28_0x" localSheetId="75">'411'!$D$76:$I$76</definedName>
    <definedName name="OSRRefD28_0x" localSheetId="76">'412'!$D$30:$I$30</definedName>
    <definedName name="OSRRefD28_0x" localSheetId="77">'413'!$D$28:$I$28</definedName>
    <definedName name="OSRRefD28_0x" localSheetId="78">'414'!$D$28:$I$28</definedName>
    <definedName name="OSRRefD28_0x" localSheetId="79">'415'!$D$94:$I$94</definedName>
    <definedName name="OSRRefD28_0x" localSheetId="80">'418'!$D$89:$I$89</definedName>
    <definedName name="OSRRefD28_0x" localSheetId="81">'423'!$D$50:$I$50</definedName>
    <definedName name="OSRRefD28_0x" localSheetId="82">'424'!$D$28:$I$28</definedName>
    <definedName name="OSRRefD28_0x" localSheetId="84">'425'!$D$36:$I$36</definedName>
    <definedName name="OSRRefD28_0x" localSheetId="86">'430'!$D$61:$I$61</definedName>
    <definedName name="OSRRefD28_0x" localSheetId="87">'433'!$D$93:$I$93</definedName>
    <definedName name="OSRRefD28_0x" localSheetId="88">'444'!$D$92:$I$92</definedName>
    <definedName name="OSRRefD28_0x" localSheetId="89">'450'!$D$93:$I$93</definedName>
    <definedName name="OSRRefD28_0x" localSheetId="83">'455'!$D$24:$I$24</definedName>
    <definedName name="OSRRefD28_0x" localSheetId="72">'491'!$D$109:$I$109</definedName>
    <definedName name="OSRRefD28_0x" localSheetId="85">'492'!$D$99:$I$99</definedName>
    <definedName name="OSRRefD28_0x" localSheetId="91">'501'!$D$75:$I$75</definedName>
    <definedName name="OSRRefD28_0x" localSheetId="47">'Div 3'!$D$154:$I$154</definedName>
    <definedName name="OSRRefD28_0x" localSheetId="70">'Div 4'!$D$117:$I$117</definedName>
    <definedName name="OSRRefD28_0x" localSheetId="90">'Div 5'!$D$75:$I$75</definedName>
    <definedName name="OSRRefD28_0x" localSheetId="61">'Div 6'!$D$78:$I$78</definedName>
    <definedName name="OSRRefD28_0x" localSheetId="2">Summary!$D$169:$I$169</definedName>
    <definedName name="OSRRefD33_0x" localSheetId="38">'100'!$D$29:$I$29</definedName>
    <definedName name="OSRRefD33_0x" localSheetId="5">'Div 1'!$D$28:$I$28</definedName>
    <definedName name="OSRRefD33_0x" localSheetId="2">Summary!$D$174:$I$174</definedName>
    <definedName name="OSRRefD34_0x" localSheetId="38">'100'!$D$30:$I$30</definedName>
    <definedName name="OSRRefD34_0x" localSheetId="5">'Div 1'!$D$29:$I$29</definedName>
    <definedName name="OSRRefD34_0x" localSheetId="2">Summary!$D$175:$I$175</definedName>
    <definedName name="OSRRefE11_0x" localSheetId="48">'300'!$J$11:$O$11</definedName>
    <definedName name="OSRRefE11_0x" localSheetId="49">'300 &amp; 317'!$J$11:$O$11</definedName>
    <definedName name="OSRRefE11_0x" localSheetId="52">'307'!$J$11:$O$11</definedName>
    <definedName name="OSRRefE11_0x" localSheetId="53">'308'!$J$11:$O$11</definedName>
    <definedName name="OSRRefE11_0x" localSheetId="63">'310'!$J$11:$O$11</definedName>
    <definedName name="OSRRefE11_0x" localSheetId="71">'310 &amp; 491'!$J$11:$O$11</definedName>
    <definedName name="OSRRefE11_0x" localSheetId="54">'311'!$J$11:$O$11</definedName>
    <definedName name="OSRRefE11_0x" localSheetId="57">'315'!$J$11:$O$11</definedName>
    <definedName name="OSRRefE11_0x" localSheetId="60">'316'!$J$11:$O$11</definedName>
    <definedName name="OSRRefE11_0x" localSheetId="62">'317'!$J$11:$O$11</definedName>
    <definedName name="OSRRefE11_0x" localSheetId="66">'321'!$J$11:$O$11</definedName>
    <definedName name="OSRRefE11_0x" localSheetId="55">'324'!$J$11:$O$11</definedName>
    <definedName name="OSRRefE11_0x" localSheetId="68">'325'!$J$11:$O$11</definedName>
    <definedName name="OSRRefE11_0x" localSheetId="58">'326'!$J$11:$O$11</definedName>
    <definedName name="OSRRefE11_0x" localSheetId="69">'327'!$J$11:$O$11</definedName>
    <definedName name="OSRRefE11_0x" localSheetId="51">'330'!$J$11:$O$11</definedName>
    <definedName name="OSRRefE11_0x" localSheetId="56">'331'!$J$11:$O$11</definedName>
    <definedName name="OSRRefE11_0x" localSheetId="59">'332'!$J$11:$O$11</definedName>
    <definedName name="OSRRefE11_0x" localSheetId="73">'405'!$J$11:$O$11</definedName>
    <definedName name="OSRRefE11_0x" localSheetId="79">'415'!$J$11:$O$11</definedName>
    <definedName name="OSRRefE11_0x" localSheetId="80">'418'!$J$11:$O$11</definedName>
    <definedName name="OSRRefE11_0x" localSheetId="84">'425'!$J$11:$O$11</definedName>
    <definedName name="OSRRefE11_0x" localSheetId="87">'433'!$J$11:$O$11</definedName>
    <definedName name="OSRRefE11_0x" localSheetId="88">'444'!$J$11:$O$11</definedName>
    <definedName name="OSRRefE11_0x" localSheetId="89">'450'!$J$11:$O$11</definedName>
    <definedName name="OSRRefE11_0x" localSheetId="72">'491'!$J$11:$O$11</definedName>
    <definedName name="OSRRefE11_0x" localSheetId="85">'492'!$J$11:$O$11</definedName>
    <definedName name="OSRRefE11_0x" localSheetId="91">'501'!$J$11:$O$11</definedName>
    <definedName name="OSRRefE11_0x" localSheetId="47">'Div 3'!$J$11:$O$11</definedName>
    <definedName name="OSRRefE11_0x" localSheetId="70">'Div 4'!$J$11:$O$11</definedName>
    <definedName name="OSRRefE11_0x" localSheetId="90">'Div 5'!$J$11:$O$11</definedName>
    <definedName name="OSRRefE11_0x" localSheetId="61">'Div 6'!$J$11:$O$11</definedName>
    <definedName name="OSRRefE11_0x" localSheetId="2">Summary!$J$11:$O$11</definedName>
    <definedName name="OSRRefE11_10x" localSheetId="2">Summary!$J$21:$O$21</definedName>
    <definedName name="OSRRefE11_1x" localSheetId="48">'300'!$J$12:$O$12</definedName>
    <definedName name="OSRRefE11_1x" localSheetId="49">'300 &amp; 317'!$J$12:$O$12</definedName>
    <definedName name="OSRRefE11_1x" localSheetId="52">'307'!$J$12:$O$12</definedName>
    <definedName name="OSRRefE11_1x" localSheetId="53">'308'!$J$12:$O$12</definedName>
    <definedName name="OSRRefE11_1x" localSheetId="63">'310'!$J$12:$O$12</definedName>
    <definedName name="OSRRefE11_1x" localSheetId="71">'310 &amp; 491'!$J$12:$O$12</definedName>
    <definedName name="OSRRefE11_1x" localSheetId="54">'311'!$J$12:$O$12</definedName>
    <definedName name="OSRRefE11_1x" localSheetId="57">'315'!$J$12:$O$12</definedName>
    <definedName name="OSRRefE11_1x" localSheetId="60">'316'!$J$12:$O$12</definedName>
    <definedName name="OSRRefE11_1x" localSheetId="62">'317'!$J$12:$O$12</definedName>
    <definedName name="OSRRefE11_1x" localSheetId="66">'321'!$J$12:$O$12</definedName>
    <definedName name="OSRRefE11_1x" localSheetId="55">'324'!$J$12:$O$12</definedName>
    <definedName name="OSRRefE11_1x" localSheetId="68">'325'!$J$12:$O$12</definedName>
    <definedName name="OSRRefE11_1x" localSheetId="58">'326'!$J$12:$O$12</definedName>
    <definedName name="OSRRefE11_1x" localSheetId="69">'327'!$J$12:$O$12</definedName>
    <definedName name="OSRRefE11_1x" localSheetId="51">'330'!$J$12:$O$12</definedName>
    <definedName name="OSRRefE11_1x" localSheetId="56">'331'!$J$12:$O$12</definedName>
    <definedName name="OSRRefE11_1x" localSheetId="59">'332'!$J$12:$O$12</definedName>
    <definedName name="OSRRefE11_1x" localSheetId="73">'405'!$J$12:$O$12</definedName>
    <definedName name="OSRRefE11_1x" localSheetId="79">'415'!$J$12:$O$12</definedName>
    <definedName name="OSRRefE11_1x" localSheetId="80">'418'!$J$12:$O$12</definedName>
    <definedName name="OSRRefE11_1x" localSheetId="87">'433'!$J$12:$O$12</definedName>
    <definedName name="OSRRefE11_1x" localSheetId="88">'444'!$J$12:$O$12</definedName>
    <definedName name="OSRRefE11_1x" localSheetId="89">'450'!$J$12:$O$12</definedName>
    <definedName name="OSRRefE11_1x" localSheetId="72">'491'!$J$12:$O$12</definedName>
    <definedName name="OSRRefE11_1x" localSheetId="85">'492'!$J$12:$O$12</definedName>
    <definedName name="OSRRefE11_1x" localSheetId="47">'Div 3'!$J$12:$O$12</definedName>
    <definedName name="OSRRefE11_1x" localSheetId="70">'Div 4'!$J$12:$O$12</definedName>
    <definedName name="OSRRefE11_1x" localSheetId="61">'Div 6'!$J$12:$O$12</definedName>
    <definedName name="OSRRefE11_1x" localSheetId="2">Summary!$J$12:$O$12</definedName>
    <definedName name="OSRRefE11_2x" localSheetId="48">'300'!$J$13:$O$13</definedName>
    <definedName name="OSRRefE11_2x" localSheetId="49">'300 &amp; 317'!$J$13:$O$13</definedName>
    <definedName name="OSRRefE11_2x" localSheetId="52">'307'!$J$13:$O$13</definedName>
    <definedName name="OSRRefE11_2x" localSheetId="53">'308'!$J$13:$O$13</definedName>
    <definedName name="OSRRefE11_2x" localSheetId="63">'310'!$J$13:$O$13</definedName>
    <definedName name="OSRRefE11_2x" localSheetId="71">'310 &amp; 491'!$J$13:$O$13</definedName>
    <definedName name="OSRRefE11_2x" localSheetId="54">'311'!$J$13:$O$13</definedName>
    <definedName name="OSRRefE11_2x" localSheetId="57">'315'!$J$13:$O$13</definedName>
    <definedName name="OSRRefE11_2x" localSheetId="60">'316'!$J$13:$O$13</definedName>
    <definedName name="OSRRefE11_2x" localSheetId="62">'317'!$J$13:$O$13</definedName>
    <definedName name="OSRRefE11_2x" localSheetId="58">'326'!$J$13:$O$13</definedName>
    <definedName name="OSRRefE11_2x" localSheetId="69">'327'!$J$13:$O$13</definedName>
    <definedName name="OSRRefE11_2x" localSheetId="51">'330'!$J$13:$O$13</definedName>
    <definedName name="OSRRefE11_2x" localSheetId="56">'331'!$J$13:$O$13</definedName>
    <definedName name="OSRRefE11_2x" localSheetId="59">'332'!$J$13:$O$13</definedName>
    <definedName name="OSRRefE11_2x" localSheetId="73">'405'!$J$13:$O$13</definedName>
    <definedName name="OSRRefE11_2x" localSheetId="79">'415'!$J$13:$O$13</definedName>
    <definedName name="OSRRefE11_2x" localSheetId="87">'433'!$J$13:$O$13</definedName>
    <definedName name="OSRRefE11_2x" localSheetId="88">'444'!$J$13:$O$13</definedName>
    <definedName name="OSRRefE11_2x" localSheetId="89">'450'!$J$13:$O$13</definedName>
    <definedName name="OSRRefE11_2x" localSheetId="72">'491'!$J$13:$O$13</definedName>
    <definedName name="OSRRefE11_2x" localSheetId="85">'492'!$J$13:$O$13</definedName>
    <definedName name="OSRRefE11_2x" localSheetId="47">'Div 3'!$J$13:$O$13</definedName>
    <definedName name="OSRRefE11_2x" localSheetId="70">'Div 4'!$J$13:$O$13</definedName>
    <definedName name="OSRRefE11_2x" localSheetId="61">'Div 6'!$J$13:$O$13</definedName>
    <definedName name="OSRRefE11_2x" localSheetId="2">Summary!$J$13:$O$13</definedName>
    <definedName name="OSRRefE11_3x" localSheetId="48">'300'!$J$14:$O$14</definedName>
    <definedName name="OSRRefE11_3x" localSheetId="49">'300 &amp; 317'!$J$14:$O$14</definedName>
    <definedName name="OSRRefE11_3x" localSheetId="52">'307'!$J$14:$O$14</definedName>
    <definedName name="OSRRefE11_3x" localSheetId="53">'308'!$J$14:$O$14</definedName>
    <definedName name="OSRRefE11_3x" localSheetId="63">'310'!$J$14:$O$14</definedName>
    <definedName name="OSRRefE11_3x" localSheetId="71">'310 &amp; 491'!$J$14:$O$14</definedName>
    <definedName name="OSRRefE11_3x" localSheetId="54">'311'!$J$14:$O$14</definedName>
    <definedName name="OSRRefE11_3x" localSheetId="57">'315'!$J$14:$O$14</definedName>
    <definedName name="OSRRefE11_3x" localSheetId="60">'316'!$J$14:$O$14</definedName>
    <definedName name="OSRRefE11_3x" localSheetId="62">'317'!$J$14:$O$14</definedName>
    <definedName name="OSRRefE11_3x" localSheetId="58">'326'!$J$14:$O$14</definedName>
    <definedName name="OSRRefE11_3x" localSheetId="51">'330'!$J$14:$O$14</definedName>
    <definedName name="OSRRefE11_3x" localSheetId="56">'331'!$J$14:$O$14</definedName>
    <definedName name="OSRRefE11_3x" localSheetId="59">'332'!$J$14:$O$14</definedName>
    <definedName name="OSRRefE11_3x" localSheetId="73">'405'!$J$14:$O$14</definedName>
    <definedName name="OSRRefE11_3x" localSheetId="79">'415'!$J$14:$O$14</definedName>
    <definedName name="OSRRefE11_3x" localSheetId="87">'433'!$J$14:$O$14</definedName>
    <definedName name="OSRRefE11_3x" localSheetId="88">'444'!$J$14:$O$14</definedName>
    <definedName name="OSRRefE11_3x" localSheetId="89">'450'!$J$14:$O$14</definedName>
    <definedName name="OSRRefE11_3x" localSheetId="72">'491'!$J$14:$O$14</definedName>
    <definedName name="OSRRefE11_3x" localSheetId="85">'492'!$J$14:$O$14</definedName>
    <definedName name="OSRRefE11_3x" localSheetId="47">'Div 3'!$J$14:$O$14</definedName>
    <definedName name="OSRRefE11_3x" localSheetId="70">'Div 4'!$J$14:$O$14</definedName>
    <definedName name="OSRRefE11_3x" localSheetId="61">'Div 6'!$J$14:$O$14</definedName>
    <definedName name="OSRRefE11_3x" localSheetId="2">Summary!$J$14:$O$14</definedName>
    <definedName name="OSRRefE11_4x" localSheetId="48">'300'!$J$15:$O$15</definedName>
    <definedName name="OSRRefE11_4x" localSheetId="49">'300 &amp; 317'!$J$15:$O$15</definedName>
    <definedName name="OSRRefE11_4x" localSheetId="53">'308'!$J$15:$O$15</definedName>
    <definedName name="OSRRefE11_4x" localSheetId="71">'310 &amp; 491'!$J$15:$O$15</definedName>
    <definedName name="OSRRefE11_4x" localSheetId="54">'311'!$J$15:$O$15</definedName>
    <definedName name="OSRRefE11_4x" localSheetId="57">'315'!$J$15:$O$15</definedName>
    <definedName name="OSRRefE11_4x" localSheetId="60">'316'!$J$15:$O$15</definedName>
    <definedName name="OSRRefE11_4x" localSheetId="62">'317'!$J$15:$O$15</definedName>
    <definedName name="OSRRefE11_4x" localSheetId="56">'331'!$J$15:$O$15</definedName>
    <definedName name="OSRRefE11_4x" localSheetId="59">'332'!$J$15:$O$15</definedName>
    <definedName name="OSRRefE11_4x" localSheetId="72">'491'!$J$15:$O$15</definedName>
    <definedName name="OSRRefE11_4x" localSheetId="47">'Div 3'!$J$15:$O$15</definedName>
    <definedName name="OSRRefE11_4x" localSheetId="70">'Div 4'!$J$15:$O$15</definedName>
    <definedName name="OSRRefE11_4x" localSheetId="61">'Div 6'!$J$15:$O$15</definedName>
    <definedName name="OSRRefE11_4x" localSheetId="2">Summary!$J$15:$O$15</definedName>
    <definedName name="OSRRefE11_5x" localSheetId="48">'300'!$J$16:$O$16</definedName>
    <definedName name="OSRRefE11_5x" localSheetId="49">'300 &amp; 317'!$J$16:$O$16</definedName>
    <definedName name="OSRRefE11_5x" localSheetId="71">'310 &amp; 491'!$J$16:$O$16</definedName>
    <definedName name="OSRRefE11_5x" localSheetId="47">'Div 3'!$J$16:$O$16</definedName>
    <definedName name="OSRRefE11_5x" localSheetId="70">'Div 4'!$J$16:$O$16</definedName>
    <definedName name="OSRRefE11_5x" localSheetId="2">Summary!$J$16:$O$16</definedName>
    <definedName name="OSRRefE11_6x" localSheetId="48">'300'!$J$17:$O$17</definedName>
    <definedName name="OSRRefE11_6x" localSheetId="49">'300 &amp; 317'!$J$17:$O$17</definedName>
    <definedName name="OSRRefE11_6x" localSheetId="47">'Div 3'!$J$17:$O$17</definedName>
    <definedName name="OSRRefE11_6x" localSheetId="2">Summary!$J$17:$O$17</definedName>
    <definedName name="OSRRefE11_7x" localSheetId="47">'Div 3'!$J$18:$O$18</definedName>
    <definedName name="OSRRefE11_7x" localSheetId="2">Summary!$J$18:$O$18</definedName>
    <definedName name="OSRRefE11_8x" localSheetId="47">'Div 3'!$J$19:$O$19</definedName>
    <definedName name="OSRRefE11_8x" localSheetId="2">Summary!$J$19:$O$19</definedName>
    <definedName name="OSRRefE11_9x" localSheetId="2">Summary!$J$20:$O$20</definedName>
    <definedName name="OSRRefE11x_0" localSheetId="48">'300'!$J$11:$J$17</definedName>
    <definedName name="OSRRefE11x_0" localSheetId="49">'300 &amp; 317'!$J$11:$J$17</definedName>
    <definedName name="OSRRefE11x_0" localSheetId="52">'307'!$J$11:$J$14</definedName>
    <definedName name="OSRRefE11x_0" localSheetId="53">'308'!$J$11:$J$15</definedName>
    <definedName name="OSRRefE11x_0" localSheetId="63">'310'!$J$11:$J$14</definedName>
    <definedName name="OSRRefE11x_0" localSheetId="71">'310 &amp; 491'!$J$11:$J$16</definedName>
    <definedName name="OSRRefE11x_0" localSheetId="54">'311'!$J$11:$J$15</definedName>
    <definedName name="OSRRefE11x_0" localSheetId="57">'315'!$J$11:$J$15</definedName>
    <definedName name="OSRRefE11x_0" localSheetId="60">'316'!$J$11:$J$15</definedName>
    <definedName name="OSRRefE11x_0" localSheetId="62">'317'!$J$11:$J$15</definedName>
    <definedName name="OSRRefE11x_0" localSheetId="66">'321'!$J$11:$J$12</definedName>
    <definedName name="OSRRefE11x_0" localSheetId="55">'324'!$J$11:$J$12</definedName>
    <definedName name="OSRRefE11x_0" localSheetId="68">'325'!$J$11:$J$12</definedName>
    <definedName name="OSRRefE11x_0" localSheetId="58">'326'!$J$11:$J$14</definedName>
    <definedName name="OSRRefE11x_0" localSheetId="69">'327'!$J$11:$J$13</definedName>
    <definedName name="OSRRefE11x_0" localSheetId="51">'330'!$J$11:$J$14</definedName>
    <definedName name="OSRRefE11x_0" localSheetId="56">'331'!$J$11:$J$15</definedName>
    <definedName name="OSRRefE11x_0" localSheetId="59">'332'!$J$11:$J$15</definedName>
    <definedName name="OSRRefE11x_0" localSheetId="73">'405'!$J$11:$J$14</definedName>
    <definedName name="OSRRefE11x_0" localSheetId="79">'415'!$J$11:$J$14</definedName>
    <definedName name="OSRRefE11x_0" localSheetId="80">'418'!$J$11:$J$12</definedName>
    <definedName name="OSRRefE11x_0" localSheetId="84">'425'!$J$11</definedName>
    <definedName name="OSRRefE11x_0" localSheetId="87">'433'!$J$11:$J$14</definedName>
    <definedName name="OSRRefE11x_0" localSheetId="88">'444'!$J$11:$J$14</definedName>
    <definedName name="OSRRefE11x_0" localSheetId="89">'450'!$J$11:$J$14</definedName>
    <definedName name="OSRRefE11x_0" localSheetId="72">'491'!$J$11:$J$15</definedName>
    <definedName name="OSRRefE11x_0" localSheetId="85">'492'!$J$11:$J$14</definedName>
    <definedName name="OSRRefE11x_0" localSheetId="91">'501'!$J$11</definedName>
    <definedName name="OSRRefE11x_0" localSheetId="47">'Div 3'!$J$11:$J$19</definedName>
    <definedName name="OSRRefE11x_0" localSheetId="70">'Div 4'!$J$11:$J$16</definedName>
    <definedName name="OSRRefE11x_0" localSheetId="90">'Div 5'!$J$11</definedName>
    <definedName name="OSRRefE11x_0" localSheetId="61">'Div 6'!$J$11:$J$15</definedName>
    <definedName name="OSRRefE11x_0" localSheetId="2">Summary!$J$11:$J$21</definedName>
    <definedName name="OSRRefE11x_1" localSheetId="48">'300'!$K$11:$K$17</definedName>
    <definedName name="OSRRefE11x_1" localSheetId="49">'300 &amp; 317'!$K$11:$K$17</definedName>
    <definedName name="OSRRefE11x_1" localSheetId="52">'307'!$K$11:$K$14</definedName>
    <definedName name="OSRRefE11x_1" localSheetId="53">'308'!$K$11:$K$15</definedName>
    <definedName name="OSRRefE11x_1" localSheetId="63">'310'!$K$11:$K$14</definedName>
    <definedName name="OSRRefE11x_1" localSheetId="71">'310 &amp; 491'!$K$11:$K$16</definedName>
    <definedName name="OSRRefE11x_1" localSheetId="54">'311'!$K$11:$K$15</definedName>
    <definedName name="OSRRefE11x_1" localSheetId="57">'315'!$K$11:$K$15</definedName>
    <definedName name="OSRRefE11x_1" localSheetId="60">'316'!$K$11:$K$15</definedName>
    <definedName name="OSRRefE11x_1" localSheetId="62">'317'!$K$11:$K$15</definedName>
    <definedName name="OSRRefE11x_1" localSheetId="66">'321'!$K$11:$K$12</definedName>
    <definedName name="OSRRefE11x_1" localSheetId="55">'324'!$K$11:$K$12</definedName>
    <definedName name="OSRRefE11x_1" localSheetId="68">'325'!$K$11:$K$12</definedName>
    <definedName name="OSRRefE11x_1" localSheetId="58">'326'!$K$11:$K$14</definedName>
    <definedName name="OSRRefE11x_1" localSheetId="69">'327'!$K$11:$K$13</definedName>
    <definedName name="OSRRefE11x_1" localSheetId="51">'330'!$K$11:$K$14</definedName>
    <definedName name="OSRRefE11x_1" localSheetId="56">'331'!$K$11:$K$15</definedName>
    <definedName name="OSRRefE11x_1" localSheetId="59">'332'!$K$11:$K$15</definedName>
    <definedName name="OSRRefE11x_1" localSheetId="73">'405'!$K$11:$K$14</definedName>
    <definedName name="OSRRefE11x_1" localSheetId="79">'415'!$K$11:$K$14</definedName>
    <definedName name="OSRRefE11x_1" localSheetId="80">'418'!$K$11:$K$12</definedName>
    <definedName name="OSRRefE11x_1" localSheetId="84">'425'!$K$11</definedName>
    <definedName name="OSRRefE11x_1" localSheetId="87">'433'!$K$11:$K$14</definedName>
    <definedName name="OSRRefE11x_1" localSheetId="88">'444'!$K$11:$K$14</definedName>
    <definedName name="OSRRefE11x_1" localSheetId="89">'450'!$K$11:$K$14</definedName>
    <definedName name="OSRRefE11x_1" localSheetId="72">'491'!$K$11:$K$15</definedName>
    <definedName name="OSRRefE11x_1" localSheetId="85">'492'!$K$11:$K$14</definedName>
    <definedName name="OSRRefE11x_1" localSheetId="91">'501'!$K$11</definedName>
    <definedName name="OSRRefE11x_1" localSheetId="47">'Div 3'!$K$11:$K$19</definedName>
    <definedName name="OSRRefE11x_1" localSheetId="70">'Div 4'!$K$11:$K$16</definedName>
    <definedName name="OSRRefE11x_1" localSheetId="90">'Div 5'!$K$11</definedName>
    <definedName name="OSRRefE11x_1" localSheetId="61">'Div 6'!$K$11:$K$15</definedName>
    <definedName name="OSRRefE11x_1" localSheetId="2">Summary!$K$11:$K$21</definedName>
    <definedName name="OSRRefE11x_2" localSheetId="48">'300'!$L$11:$L$17</definedName>
    <definedName name="OSRRefE11x_2" localSheetId="49">'300 &amp; 317'!$L$11:$L$17</definedName>
    <definedName name="OSRRefE11x_2" localSheetId="52">'307'!$L$11:$L$14</definedName>
    <definedName name="OSRRefE11x_2" localSheetId="53">'308'!$L$11:$L$15</definedName>
    <definedName name="OSRRefE11x_2" localSheetId="63">'310'!$L$11:$L$14</definedName>
    <definedName name="OSRRefE11x_2" localSheetId="71">'310 &amp; 491'!$L$11:$L$16</definedName>
    <definedName name="OSRRefE11x_2" localSheetId="54">'311'!$L$11:$L$15</definedName>
    <definedName name="OSRRefE11x_2" localSheetId="57">'315'!$L$11:$L$15</definedName>
    <definedName name="OSRRefE11x_2" localSheetId="60">'316'!$L$11:$L$15</definedName>
    <definedName name="OSRRefE11x_2" localSheetId="62">'317'!$L$11:$L$15</definedName>
    <definedName name="OSRRefE11x_2" localSheetId="66">'321'!$L$11:$L$12</definedName>
    <definedName name="OSRRefE11x_2" localSheetId="55">'324'!$L$11:$L$12</definedName>
    <definedName name="OSRRefE11x_2" localSheetId="68">'325'!$L$11:$L$12</definedName>
    <definedName name="OSRRefE11x_2" localSheetId="58">'326'!$L$11:$L$14</definedName>
    <definedName name="OSRRefE11x_2" localSheetId="69">'327'!$L$11:$L$13</definedName>
    <definedName name="OSRRefE11x_2" localSheetId="51">'330'!$L$11:$L$14</definedName>
    <definedName name="OSRRefE11x_2" localSheetId="56">'331'!$L$11:$L$15</definedName>
    <definedName name="OSRRefE11x_2" localSheetId="59">'332'!$L$11:$L$15</definedName>
    <definedName name="OSRRefE11x_2" localSheetId="73">'405'!$L$11:$L$14</definedName>
    <definedName name="OSRRefE11x_2" localSheetId="79">'415'!$L$11:$L$14</definedName>
    <definedName name="OSRRefE11x_2" localSheetId="80">'418'!$L$11:$L$12</definedName>
    <definedName name="OSRRefE11x_2" localSheetId="84">'425'!$L$11</definedName>
    <definedName name="OSRRefE11x_2" localSheetId="87">'433'!$L$11:$L$14</definedName>
    <definedName name="OSRRefE11x_2" localSheetId="88">'444'!$L$11:$L$14</definedName>
    <definedName name="OSRRefE11x_2" localSheetId="89">'450'!$L$11:$L$14</definedName>
    <definedName name="OSRRefE11x_2" localSheetId="72">'491'!$L$11:$L$15</definedName>
    <definedName name="OSRRefE11x_2" localSheetId="85">'492'!$L$11:$L$14</definedName>
    <definedName name="OSRRefE11x_2" localSheetId="91">'501'!$L$11</definedName>
    <definedName name="OSRRefE11x_2" localSheetId="47">'Div 3'!$L$11:$L$19</definedName>
    <definedName name="OSRRefE11x_2" localSheetId="70">'Div 4'!$L$11:$L$16</definedName>
    <definedName name="OSRRefE11x_2" localSheetId="90">'Div 5'!$L$11</definedName>
    <definedName name="OSRRefE11x_2" localSheetId="61">'Div 6'!$L$11:$L$15</definedName>
    <definedName name="OSRRefE11x_2" localSheetId="2">Summary!$L$11:$L$21</definedName>
    <definedName name="OSRRefE11x_3" localSheetId="48">'300'!$M$11:$M$17</definedName>
    <definedName name="OSRRefE11x_3" localSheetId="49">'300 &amp; 317'!$M$11:$M$17</definedName>
    <definedName name="OSRRefE11x_3" localSheetId="52">'307'!$M$11:$M$14</definedName>
    <definedName name="OSRRefE11x_3" localSheetId="53">'308'!$M$11:$M$15</definedName>
    <definedName name="OSRRefE11x_3" localSheetId="63">'310'!$M$11:$M$14</definedName>
    <definedName name="OSRRefE11x_3" localSheetId="71">'310 &amp; 491'!$M$11:$M$16</definedName>
    <definedName name="OSRRefE11x_3" localSheetId="54">'311'!$M$11:$M$15</definedName>
    <definedName name="OSRRefE11x_3" localSheetId="57">'315'!$M$11:$M$15</definedName>
    <definedName name="OSRRefE11x_3" localSheetId="60">'316'!$M$11:$M$15</definedName>
    <definedName name="OSRRefE11x_3" localSheetId="62">'317'!$M$11:$M$15</definedName>
    <definedName name="OSRRefE11x_3" localSheetId="66">'321'!$M$11:$M$12</definedName>
    <definedName name="OSRRefE11x_3" localSheetId="55">'324'!$M$11:$M$12</definedName>
    <definedName name="OSRRefE11x_3" localSheetId="68">'325'!$M$11:$M$12</definedName>
    <definedName name="OSRRefE11x_3" localSheetId="58">'326'!$M$11:$M$14</definedName>
    <definedName name="OSRRefE11x_3" localSheetId="69">'327'!$M$11:$M$13</definedName>
    <definedName name="OSRRefE11x_3" localSheetId="51">'330'!$M$11:$M$14</definedName>
    <definedName name="OSRRefE11x_3" localSheetId="56">'331'!$M$11:$M$15</definedName>
    <definedName name="OSRRefE11x_3" localSheetId="59">'332'!$M$11:$M$15</definedName>
    <definedName name="OSRRefE11x_3" localSheetId="73">'405'!$M$11:$M$14</definedName>
    <definedName name="OSRRefE11x_3" localSheetId="79">'415'!$M$11:$M$14</definedName>
    <definedName name="OSRRefE11x_3" localSheetId="80">'418'!$M$11:$M$12</definedName>
    <definedName name="OSRRefE11x_3" localSheetId="84">'425'!$M$11</definedName>
    <definedName name="OSRRefE11x_3" localSheetId="87">'433'!$M$11:$M$14</definedName>
    <definedName name="OSRRefE11x_3" localSheetId="88">'444'!$M$11:$M$14</definedName>
    <definedName name="OSRRefE11x_3" localSheetId="89">'450'!$M$11:$M$14</definedName>
    <definedName name="OSRRefE11x_3" localSheetId="72">'491'!$M$11:$M$15</definedName>
    <definedName name="OSRRefE11x_3" localSheetId="85">'492'!$M$11:$M$14</definedName>
    <definedName name="OSRRefE11x_3" localSheetId="91">'501'!$M$11</definedName>
    <definedName name="OSRRefE11x_3" localSheetId="47">'Div 3'!$M$11:$M$19</definedName>
    <definedName name="OSRRefE11x_3" localSheetId="70">'Div 4'!$M$11:$M$16</definedName>
    <definedName name="OSRRefE11x_3" localSheetId="90">'Div 5'!$M$11</definedName>
    <definedName name="OSRRefE11x_3" localSheetId="61">'Div 6'!$M$11:$M$15</definedName>
    <definedName name="OSRRefE11x_3" localSheetId="2">Summary!$M$11:$M$21</definedName>
    <definedName name="OSRRefE11x_4" localSheetId="48">'300'!$N$11:$N$17</definedName>
    <definedName name="OSRRefE11x_4" localSheetId="49">'300 &amp; 317'!$N$11:$N$17</definedName>
    <definedName name="OSRRefE11x_4" localSheetId="52">'307'!$N$11:$N$14</definedName>
    <definedName name="OSRRefE11x_4" localSheetId="53">'308'!$N$11:$N$15</definedName>
    <definedName name="OSRRefE11x_4" localSheetId="63">'310'!$N$11:$N$14</definedName>
    <definedName name="OSRRefE11x_4" localSheetId="71">'310 &amp; 491'!$N$11:$N$16</definedName>
    <definedName name="OSRRefE11x_4" localSheetId="54">'311'!$N$11:$N$15</definedName>
    <definedName name="OSRRefE11x_4" localSheetId="57">'315'!$N$11:$N$15</definedName>
    <definedName name="OSRRefE11x_4" localSheetId="60">'316'!$N$11:$N$15</definedName>
    <definedName name="OSRRefE11x_4" localSheetId="62">'317'!$N$11:$N$15</definedName>
    <definedName name="OSRRefE11x_4" localSheetId="66">'321'!$N$11:$N$12</definedName>
    <definedName name="OSRRefE11x_4" localSheetId="55">'324'!$N$11:$N$12</definedName>
    <definedName name="OSRRefE11x_4" localSheetId="68">'325'!$N$11:$N$12</definedName>
    <definedName name="OSRRefE11x_4" localSheetId="58">'326'!$N$11:$N$14</definedName>
    <definedName name="OSRRefE11x_4" localSheetId="69">'327'!$N$11:$N$13</definedName>
    <definedName name="OSRRefE11x_4" localSheetId="51">'330'!$N$11:$N$14</definedName>
    <definedName name="OSRRefE11x_4" localSheetId="56">'331'!$N$11:$N$15</definedName>
    <definedName name="OSRRefE11x_4" localSheetId="59">'332'!$N$11:$N$15</definedName>
    <definedName name="OSRRefE11x_4" localSheetId="73">'405'!$N$11:$N$14</definedName>
    <definedName name="OSRRefE11x_4" localSheetId="79">'415'!$N$11:$N$14</definedName>
    <definedName name="OSRRefE11x_4" localSheetId="80">'418'!$N$11:$N$12</definedName>
    <definedName name="OSRRefE11x_4" localSheetId="84">'425'!$N$11</definedName>
    <definedName name="OSRRefE11x_4" localSheetId="87">'433'!$N$11:$N$14</definedName>
    <definedName name="OSRRefE11x_4" localSheetId="88">'444'!$N$11:$N$14</definedName>
    <definedName name="OSRRefE11x_4" localSheetId="89">'450'!$N$11:$N$14</definedName>
    <definedName name="OSRRefE11x_4" localSheetId="72">'491'!$N$11:$N$15</definedName>
    <definedName name="OSRRefE11x_4" localSheetId="85">'492'!$N$11:$N$14</definedName>
    <definedName name="OSRRefE11x_4" localSheetId="91">'501'!$N$11</definedName>
    <definedName name="OSRRefE11x_4" localSheetId="47">'Div 3'!$N$11:$N$19</definedName>
    <definedName name="OSRRefE11x_4" localSheetId="70">'Div 4'!$N$11:$N$16</definedName>
    <definedName name="OSRRefE11x_4" localSheetId="90">'Div 5'!$N$11</definedName>
    <definedName name="OSRRefE11x_4" localSheetId="61">'Div 6'!$N$11:$N$15</definedName>
    <definedName name="OSRRefE11x_4" localSheetId="2">Summary!$N$11:$N$21</definedName>
    <definedName name="OSRRefE11x_5" localSheetId="48">'300'!$O$11:$O$17</definedName>
    <definedName name="OSRRefE11x_5" localSheetId="49">'300 &amp; 317'!$O$11:$O$17</definedName>
    <definedName name="OSRRefE11x_5" localSheetId="52">'307'!$O$11:$O$14</definedName>
    <definedName name="OSRRefE11x_5" localSheetId="53">'308'!$O$11:$O$15</definedName>
    <definedName name="OSRRefE11x_5" localSheetId="63">'310'!$O$11:$O$14</definedName>
    <definedName name="OSRRefE11x_5" localSheetId="71">'310 &amp; 491'!$O$11:$O$16</definedName>
    <definedName name="OSRRefE11x_5" localSheetId="54">'311'!$O$11:$O$15</definedName>
    <definedName name="OSRRefE11x_5" localSheetId="57">'315'!$O$11:$O$15</definedName>
    <definedName name="OSRRefE11x_5" localSheetId="60">'316'!$O$11:$O$15</definedName>
    <definedName name="OSRRefE11x_5" localSheetId="62">'317'!$O$11:$O$15</definedName>
    <definedName name="OSRRefE11x_5" localSheetId="66">'321'!$O$11:$O$12</definedName>
    <definedName name="OSRRefE11x_5" localSheetId="55">'324'!$O$11:$O$12</definedName>
    <definedName name="OSRRefE11x_5" localSheetId="68">'325'!$O$11:$O$12</definedName>
    <definedName name="OSRRefE11x_5" localSheetId="58">'326'!$O$11:$O$14</definedName>
    <definedName name="OSRRefE11x_5" localSheetId="69">'327'!$O$11:$O$13</definedName>
    <definedName name="OSRRefE11x_5" localSheetId="51">'330'!$O$11:$O$14</definedName>
    <definedName name="OSRRefE11x_5" localSheetId="56">'331'!$O$11:$O$15</definedName>
    <definedName name="OSRRefE11x_5" localSheetId="59">'332'!$O$11:$O$15</definedName>
    <definedName name="OSRRefE11x_5" localSheetId="73">'405'!$O$11:$O$14</definedName>
    <definedName name="OSRRefE11x_5" localSheetId="79">'415'!$O$11:$O$14</definedName>
    <definedName name="OSRRefE11x_5" localSheetId="80">'418'!$O$11:$O$12</definedName>
    <definedName name="OSRRefE11x_5" localSheetId="84">'425'!$O$11</definedName>
    <definedName name="OSRRefE11x_5" localSheetId="87">'433'!$O$11:$O$14</definedName>
    <definedName name="OSRRefE11x_5" localSheetId="88">'444'!$O$11:$O$14</definedName>
    <definedName name="OSRRefE11x_5" localSheetId="89">'450'!$O$11:$O$14</definedName>
    <definedName name="OSRRefE11x_5" localSheetId="72">'491'!$O$11:$O$15</definedName>
    <definedName name="OSRRefE11x_5" localSheetId="85">'492'!$O$11:$O$14</definedName>
    <definedName name="OSRRefE11x_5" localSheetId="91">'501'!$O$11</definedName>
    <definedName name="OSRRefE11x_5" localSheetId="47">'Div 3'!$O$11:$O$19</definedName>
    <definedName name="OSRRefE11x_5" localSheetId="70">'Div 4'!$O$11:$O$16</definedName>
    <definedName name="OSRRefE11x_5" localSheetId="90">'Div 5'!$O$11</definedName>
    <definedName name="OSRRefE11x_5" localSheetId="61">'Div 6'!$O$11:$O$15</definedName>
    <definedName name="OSRRefE11x_5" localSheetId="2">Summary!$O$11:$O$21</definedName>
    <definedName name="OSRRefE14_0x" localSheetId="48">'300'!$J$20:$O$20</definedName>
    <definedName name="OSRRefE14_0x" localSheetId="49">'300 &amp; 317'!$J$20:$O$20</definedName>
    <definedName name="OSRRefE14_0x" localSheetId="50">'301'!$J$13:$O$13</definedName>
    <definedName name="OSRRefE14_0x" localSheetId="52">'307'!$J$17:$O$17</definedName>
    <definedName name="OSRRefE14_0x" localSheetId="53">'308'!$J$18:$O$18</definedName>
    <definedName name="OSRRefE14_0x" localSheetId="63">'310'!$J$17:$O$17</definedName>
    <definedName name="OSRRefE14_0x" localSheetId="71">'310 &amp; 491'!$J$19:$O$19</definedName>
    <definedName name="OSRRefE14_0x" localSheetId="54">'311'!$J$18:$O$18</definedName>
    <definedName name="OSRRefE14_0x" localSheetId="57">'315'!$J$18:$O$18</definedName>
    <definedName name="OSRRefE14_0x" localSheetId="60">'316'!$J$18:$O$18</definedName>
    <definedName name="OSRRefE14_0x" localSheetId="62">'317'!$J$18:$O$18</definedName>
    <definedName name="OSRRefE14_0x" localSheetId="66">'321'!$J$15:$O$15</definedName>
    <definedName name="OSRRefE14_0x" localSheetId="55">'324'!$J$15:$O$15</definedName>
    <definedName name="OSRRefE14_0x" localSheetId="68">'325'!$J$15:$O$15</definedName>
    <definedName name="OSRRefE14_0x" localSheetId="58">'326'!$J$17:$O$17</definedName>
    <definedName name="OSRRefE14_0x" localSheetId="69">'327'!$J$16:$O$16</definedName>
    <definedName name="OSRRefE14_0x" localSheetId="51">'330'!$J$17:$O$17</definedName>
    <definedName name="OSRRefE14_0x" localSheetId="56">'331'!$J$18:$O$18</definedName>
    <definedName name="OSRRefE14_0x" localSheetId="59">'332'!$J$18:$O$18</definedName>
    <definedName name="OSRRefE14_0x" localSheetId="73">'405'!$J$17:$O$17</definedName>
    <definedName name="OSRRefE14_0x" localSheetId="79">'415'!$J$17:$O$17</definedName>
    <definedName name="OSRRefE14_0x" localSheetId="80">'418'!$J$15:$O$15</definedName>
    <definedName name="OSRRefE14_0x" localSheetId="84">'425'!$J$14:$O$14</definedName>
    <definedName name="OSRRefE14_0x" localSheetId="87">'433'!$J$17:$O$17</definedName>
    <definedName name="OSRRefE14_0x" localSheetId="88">'444'!$J$17:$O$17</definedName>
    <definedName name="OSRRefE14_0x" localSheetId="89">'450'!$J$17:$O$17</definedName>
    <definedName name="OSRRefE14_0x" localSheetId="72">'491'!$J$18:$O$18</definedName>
    <definedName name="OSRRefE14_0x" localSheetId="85">'492'!$J$17:$O$17</definedName>
    <definedName name="OSRRefE14_0x" localSheetId="47">'Div 3'!$J$22:$O$22</definedName>
    <definedName name="OSRRefE14_0x" localSheetId="70">'Div 4'!$J$19:$O$19</definedName>
    <definedName name="OSRRefE14_0x" localSheetId="61">'Div 6'!$J$18:$O$18</definedName>
    <definedName name="OSRRefE14_0x" localSheetId="2">Summary!$J$24:$O$24</definedName>
    <definedName name="OSRRefE14_10x" localSheetId="48">'300'!$J$30:$O$30</definedName>
    <definedName name="OSRRefE14_10x" localSheetId="49">'300 &amp; 317'!$J$30:$O$30</definedName>
    <definedName name="OSRRefE14_10x" localSheetId="57">'315'!$J$28:$O$28</definedName>
    <definedName name="OSRRefE14_10x" localSheetId="56">'331'!$J$28:$O$28</definedName>
    <definedName name="OSRRefE14_10x" localSheetId="47">'Div 3'!$J$32:$O$32</definedName>
    <definedName name="OSRRefE14_10x" localSheetId="2">Summary!$J$34:$O$34</definedName>
    <definedName name="OSRRefE14_11x" localSheetId="48">'300'!$J$31:$O$31</definedName>
    <definedName name="OSRRefE14_11x" localSheetId="49">'300 &amp; 317'!$J$31:$O$31</definedName>
    <definedName name="OSRRefE14_11x" localSheetId="57">'315'!$J$29:$O$29</definedName>
    <definedName name="OSRRefE14_11x" localSheetId="56">'331'!$J$29:$O$29</definedName>
    <definedName name="OSRRefE14_11x" localSheetId="47">'Div 3'!$J$33:$O$33</definedName>
    <definedName name="OSRRefE14_11x" localSheetId="2">Summary!$J$35:$O$35</definedName>
    <definedName name="OSRRefE14_12x" localSheetId="48">'300'!$J$32:$O$32</definedName>
    <definedName name="OSRRefE14_12x" localSheetId="49">'300 &amp; 317'!$J$32:$O$32</definedName>
    <definedName name="OSRRefE14_12x" localSheetId="57">'315'!$J$30:$O$30</definedName>
    <definedName name="OSRRefE14_12x" localSheetId="56">'331'!$J$30:$O$30</definedName>
    <definedName name="OSRRefE14_12x" localSheetId="47">'Div 3'!$J$34:$O$34</definedName>
    <definedName name="OSRRefE14_12x" localSheetId="2">Summary!$J$36:$O$36</definedName>
    <definedName name="OSRRefE14_13x" localSheetId="48">'300'!$J$33:$O$33</definedName>
    <definedName name="OSRRefE14_13x" localSheetId="49">'300 &amp; 317'!$J$33:$O$33</definedName>
    <definedName name="OSRRefE14_13x" localSheetId="57">'315'!$J$31:$O$31</definedName>
    <definedName name="OSRRefE14_13x" localSheetId="56">'331'!$J$31:$O$31</definedName>
    <definedName name="OSRRefE14_13x" localSheetId="47">'Div 3'!$J$35:$O$35</definedName>
    <definedName name="OSRRefE14_13x" localSheetId="2">Summary!$J$37:$O$37</definedName>
    <definedName name="OSRRefE14_14x" localSheetId="48">'300'!$J$34:$O$34</definedName>
    <definedName name="OSRRefE14_14x" localSheetId="49">'300 &amp; 317'!$J$34:$O$34</definedName>
    <definedName name="OSRRefE14_14x" localSheetId="57">'315'!$J$32:$O$32</definedName>
    <definedName name="OSRRefE14_14x" localSheetId="56">'331'!$J$32:$O$32</definedName>
    <definedName name="OSRRefE14_14x" localSheetId="47">'Div 3'!$J$36:$O$36</definedName>
    <definedName name="OSRRefE14_14x" localSheetId="2">Summary!$J$38:$O$38</definedName>
    <definedName name="OSRRefE14_15x" localSheetId="48">'300'!$J$35:$O$35</definedName>
    <definedName name="OSRRefE14_15x" localSheetId="49">'300 &amp; 317'!$J$35:$O$35</definedName>
    <definedName name="OSRRefE14_15x" localSheetId="57">'315'!$J$33:$O$33</definedName>
    <definedName name="OSRRefE14_15x" localSheetId="56">'331'!$J$33:$O$33</definedName>
    <definedName name="OSRRefE14_15x" localSheetId="47">'Div 3'!$J$37:$O$37</definedName>
    <definedName name="OSRRefE14_15x" localSheetId="2">Summary!$J$39:$O$39</definedName>
    <definedName name="OSRRefE14_16x" localSheetId="48">'300'!$J$36:$O$36</definedName>
    <definedName name="OSRRefE14_16x" localSheetId="49">'300 &amp; 317'!$J$36:$O$36</definedName>
    <definedName name="OSRRefE14_16x" localSheetId="57">'315'!$J$34:$O$34</definedName>
    <definedName name="OSRRefE14_16x" localSheetId="56">'331'!$J$34:$O$34</definedName>
    <definedName name="OSRRefE14_16x" localSheetId="47">'Div 3'!$J$38:$O$38</definedName>
    <definedName name="OSRRefE14_16x" localSheetId="2">Summary!$J$40:$O$40</definedName>
    <definedName name="OSRRefE14_17x" localSheetId="48">'300'!$J$37:$O$37</definedName>
    <definedName name="OSRRefE14_17x" localSheetId="49">'300 &amp; 317'!$J$37:$O$37</definedName>
    <definedName name="OSRRefE14_17x" localSheetId="57">'315'!$J$35:$O$35</definedName>
    <definedName name="OSRRefE14_17x" localSheetId="56">'331'!$J$35:$O$35</definedName>
    <definedName name="OSRRefE14_17x" localSheetId="47">'Div 3'!$J$39:$O$39</definedName>
    <definedName name="OSRRefE14_17x" localSheetId="2">Summary!$J$41:$O$41</definedName>
    <definedName name="OSRRefE14_18x" localSheetId="48">'300'!$J$38:$O$38</definedName>
    <definedName name="OSRRefE14_18x" localSheetId="49">'300 &amp; 317'!$J$38:$O$38</definedName>
    <definedName name="OSRRefE14_18x" localSheetId="57">'315'!$J$36:$O$36</definedName>
    <definedName name="OSRRefE14_18x" localSheetId="56">'331'!$J$36:$O$36</definedName>
    <definedName name="OSRRefE14_18x" localSheetId="47">'Div 3'!$J$40:$O$40</definedName>
    <definedName name="OSRRefE14_18x" localSheetId="2">Summary!$J$42:$O$42</definedName>
    <definedName name="OSRRefE14_19x" localSheetId="48">'300'!$J$39:$O$39</definedName>
    <definedName name="OSRRefE14_19x" localSheetId="49">'300 &amp; 317'!$J$39:$O$39</definedName>
    <definedName name="OSRRefE14_19x" localSheetId="47">'Div 3'!$J$41:$O$41</definedName>
    <definedName name="OSRRefE14_19x" localSheetId="2">Summary!$J$43:$O$43</definedName>
    <definedName name="OSRRefE14_1x" localSheetId="48">'300'!$J$21:$O$21</definedName>
    <definedName name="OSRRefE14_1x" localSheetId="49">'300 &amp; 317'!$J$21:$O$21</definedName>
    <definedName name="OSRRefE14_1x" localSheetId="52">'307'!$J$18:$O$18</definedName>
    <definedName name="OSRRefE14_1x" localSheetId="53">'308'!$J$19:$O$19</definedName>
    <definedName name="OSRRefE14_1x" localSheetId="63">'310'!$J$18:$O$18</definedName>
    <definedName name="OSRRefE14_1x" localSheetId="71">'310 &amp; 491'!$J$20:$O$20</definedName>
    <definedName name="OSRRefE14_1x" localSheetId="54">'311'!$J$19:$O$19</definedName>
    <definedName name="OSRRefE14_1x" localSheetId="57">'315'!$J$19:$O$19</definedName>
    <definedName name="OSRRefE14_1x" localSheetId="60">'316'!$J$19:$O$19</definedName>
    <definedName name="OSRRefE14_1x" localSheetId="62">'317'!$J$19:$O$19</definedName>
    <definedName name="OSRRefE14_1x" localSheetId="66">'321'!$J$16:$O$16</definedName>
    <definedName name="OSRRefE14_1x" localSheetId="68">'325'!$J$16:$O$16</definedName>
    <definedName name="OSRRefE14_1x" localSheetId="58">'326'!$J$18:$O$18</definedName>
    <definedName name="OSRRefE14_1x" localSheetId="69">'327'!$J$17:$O$17</definedName>
    <definedName name="OSRRefE14_1x" localSheetId="51">'330'!$J$18:$O$18</definedName>
    <definedName name="OSRRefE14_1x" localSheetId="56">'331'!$J$19:$O$19</definedName>
    <definedName name="OSRRefE14_1x" localSheetId="59">'332'!$J$19:$O$19</definedName>
    <definedName name="OSRRefE14_1x" localSheetId="73">'405'!$J$18:$O$18</definedName>
    <definedName name="OSRRefE14_1x" localSheetId="79">'415'!$J$18:$O$18</definedName>
    <definedName name="OSRRefE14_1x" localSheetId="80">'418'!$J$16:$O$16</definedName>
    <definedName name="OSRRefE14_1x" localSheetId="87">'433'!$J$18:$O$18</definedName>
    <definedName name="OSRRefE14_1x" localSheetId="88">'444'!$J$18:$O$18</definedName>
    <definedName name="OSRRefE14_1x" localSheetId="89">'450'!$J$18:$O$18</definedName>
    <definedName name="OSRRefE14_1x" localSheetId="72">'491'!$J$19:$O$19</definedName>
    <definedName name="OSRRefE14_1x" localSheetId="85">'492'!$J$18:$O$18</definedName>
    <definedName name="OSRRefE14_1x" localSheetId="47">'Div 3'!$J$23:$O$23</definedName>
    <definedName name="OSRRefE14_1x" localSheetId="70">'Div 4'!$J$20:$O$20</definedName>
    <definedName name="OSRRefE14_1x" localSheetId="61">'Div 6'!$J$19:$O$19</definedName>
    <definedName name="OSRRefE14_1x" localSheetId="2">Summary!$J$25:$O$25</definedName>
    <definedName name="OSRRefE14_20x" localSheetId="48">'300'!$J$40:$O$40</definedName>
    <definedName name="OSRRefE14_20x" localSheetId="49">'300 &amp; 317'!$J$40:$O$40</definedName>
    <definedName name="OSRRefE14_20x" localSheetId="47">'Div 3'!$J$42:$O$42</definedName>
    <definedName name="OSRRefE14_20x" localSheetId="2">Summary!$J$44:$O$44</definedName>
    <definedName name="OSRRefE14_21x" localSheetId="48">'300'!$J$41:$O$41</definedName>
    <definedName name="OSRRefE14_21x" localSheetId="49">'300 &amp; 317'!$J$41:$O$41</definedName>
    <definedName name="OSRRefE14_21x" localSheetId="47">'Div 3'!$J$43:$O$43</definedName>
    <definedName name="OSRRefE14_21x" localSheetId="2">Summary!$J$45:$O$45</definedName>
    <definedName name="OSRRefE14_22x" localSheetId="48">'300'!$J$42:$O$42</definedName>
    <definedName name="OSRRefE14_22x" localSheetId="49">'300 &amp; 317'!$J$42:$O$42</definedName>
    <definedName name="OSRRefE14_22x" localSheetId="47">'Div 3'!$J$44:$O$44</definedName>
    <definedName name="OSRRefE14_22x" localSheetId="2">Summary!$J$46:$O$46</definedName>
    <definedName name="OSRRefE14_23x" localSheetId="48">'300'!$J$43:$O$43</definedName>
    <definedName name="OSRRefE14_23x" localSheetId="49">'300 &amp; 317'!$J$43:$O$43</definedName>
    <definedName name="OSRRefE14_23x" localSheetId="47">'Div 3'!$J$45:$O$45</definedName>
    <definedName name="OSRRefE14_23x" localSheetId="2">Summary!$J$47:$O$47</definedName>
    <definedName name="OSRRefE14_24x" localSheetId="48">'300'!$J$44:$O$44</definedName>
    <definedName name="OSRRefE14_24x" localSheetId="49">'300 &amp; 317'!$J$44:$O$44</definedName>
    <definedName name="OSRRefE14_24x" localSheetId="47">'Div 3'!$J$46:$O$46</definedName>
    <definedName name="OSRRefE14_24x" localSheetId="2">Summary!$J$48:$O$48</definedName>
    <definedName name="OSRRefE14_25x" localSheetId="48">'300'!$J$45:$O$45</definedName>
    <definedName name="OSRRefE14_25x" localSheetId="49">'300 &amp; 317'!$J$45:$O$45</definedName>
    <definedName name="OSRRefE14_25x" localSheetId="47">'Div 3'!$J$47:$O$47</definedName>
    <definedName name="OSRRefE14_25x" localSheetId="2">Summary!$J$49:$O$49</definedName>
    <definedName name="OSRRefE14_26x" localSheetId="48">'300'!$J$46:$O$46</definedName>
    <definedName name="OSRRefE14_26x" localSheetId="49">'300 &amp; 317'!$J$46:$O$46</definedName>
    <definedName name="OSRRefE14_26x" localSheetId="47">'Div 3'!$J$48:$O$48</definedName>
    <definedName name="OSRRefE14_26x" localSheetId="2">Summary!$J$50:$O$50</definedName>
    <definedName name="OSRRefE14_27x" localSheetId="49">'300 &amp; 317'!$J$47:$O$47</definedName>
    <definedName name="OSRRefE14_27x" localSheetId="47">'Div 3'!$J$49:$O$49</definedName>
    <definedName name="OSRRefE14_27x" localSheetId="2">Summary!$J$51:$O$51</definedName>
    <definedName name="OSRRefE14_28x" localSheetId="49">'300 &amp; 317'!$J$48:$O$48</definedName>
    <definedName name="OSRRefE14_28x" localSheetId="47">'Div 3'!$J$50:$O$50</definedName>
    <definedName name="OSRRefE14_28x" localSheetId="2">Summary!$J$52:$O$52</definedName>
    <definedName name="OSRRefE14_29x" localSheetId="49">'300 &amp; 317'!$J$49:$O$49</definedName>
    <definedName name="OSRRefE14_29x" localSheetId="2">Summary!$J$53:$O$53</definedName>
    <definedName name="OSRRefE14_2x" localSheetId="48">'300'!$J$22:$O$22</definedName>
    <definedName name="OSRRefE14_2x" localSheetId="49">'300 &amp; 317'!$J$22:$O$22</definedName>
    <definedName name="OSRRefE14_2x" localSheetId="52">'307'!$J$19:$O$19</definedName>
    <definedName name="OSRRefE14_2x" localSheetId="53">'308'!$J$20:$O$20</definedName>
    <definedName name="OSRRefE14_2x" localSheetId="63">'310'!$J$19:$O$19</definedName>
    <definedName name="OSRRefE14_2x" localSheetId="71">'310 &amp; 491'!$J$21:$O$21</definedName>
    <definedName name="OSRRefE14_2x" localSheetId="54">'311'!$J$20:$O$20</definedName>
    <definedName name="OSRRefE14_2x" localSheetId="57">'315'!$J$20:$O$20</definedName>
    <definedName name="OSRRefE14_2x" localSheetId="62">'317'!$J$20:$O$20</definedName>
    <definedName name="OSRRefE14_2x" localSheetId="68">'325'!$J$17:$O$17</definedName>
    <definedName name="OSRRefE14_2x" localSheetId="58">'326'!$J$19:$O$19</definedName>
    <definedName name="OSRRefE14_2x" localSheetId="69">'327'!$J$18:$O$18</definedName>
    <definedName name="OSRRefE14_2x" localSheetId="51">'330'!$J$19:$O$19</definedName>
    <definedName name="OSRRefE14_2x" localSheetId="56">'331'!$J$20:$O$20</definedName>
    <definedName name="OSRRefE14_2x" localSheetId="73">'405'!$J$19:$O$19</definedName>
    <definedName name="OSRRefE14_2x" localSheetId="79">'415'!$J$19:$O$19</definedName>
    <definedName name="OSRRefE14_2x" localSheetId="87">'433'!$J$19:$O$19</definedName>
    <definedName name="OSRRefE14_2x" localSheetId="88">'444'!$J$19:$O$19</definedName>
    <definedName name="OSRRefE14_2x" localSheetId="89">'450'!$J$19:$O$19</definedName>
    <definedName name="OSRRefE14_2x" localSheetId="72">'491'!$J$20:$O$20</definedName>
    <definedName name="OSRRefE14_2x" localSheetId="85">'492'!$J$19:$O$19</definedName>
    <definedName name="OSRRefE14_2x" localSheetId="47">'Div 3'!$J$24:$O$24</definedName>
    <definedName name="OSRRefE14_2x" localSheetId="70">'Div 4'!$J$21:$O$21</definedName>
    <definedName name="OSRRefE14_2x" localSheetId="61">'Div 6'!$J$20:$O$20</definedName>
    <definedName name="OSRRefE14_2x" localSheetId="2">Summary!$J$26:$O$26</definedName>
    <definedName name="OSRRefE14_30x" localSheetId="49">'300 &amp; 317'!$J$50:$O$50</definedName>
    <definedName name="OSRRefE14_30x" localSheetId="2">Summary!$J$54:$O$54</definedName>
    <definedName name="OSRRefE14_31x" localSheetId="49">'300 &amp; 317'!$J$51:$O$51</definedName>
    <definedName name="OSRRefE14_31x" localSheetId="2">Summary!$J$55:$O$55</definedName>
    <definedName name="OSRRefE14_32x" localSheetId="49">'300 &amp; 317'!$J$52:$O$52</definedName>
    <definedName name="OSRRefE14_32x" localSheetId="2">Summary!$J$56:$O$56</definedName>
    <definedName name="OSRRefE14_33x" localSheetId="2">Summary!$J$57:$O$57</definedName>
    <definedName name="OSRRefE14_34x" localSheetId="2">Summary!$J$58:$O$58</definedName>
    <definedName name="OSRRefE14_3x" localSheetId="48">'300'!$J$23:$O$23</definedName>
    <definedName name="OSRRefE14_3x" localSheetId="49">'300 &amp; 317'!$J$23:$O$23</definedName>
    <definedName name="OSRRefE14_3x" localSheetId="52">'307'!$J$20:$O$20</definedName>
    <definedName name="OSRRefE14_3x" localSheetId="53">'308'!$J$21:$O$21</definedName>
    <definedName name="OSRRefE14_3x" localSheetId="54">'311'!$J$21:$O$21</definedName>
    <definedName name="OSRRefE14_3x" localSheetId="57">'315'!$J$21:$O$21</definedName>
    <definedName name="OSRRefE14_3x" localSheetId="62">'317'!$J$21:$O$21</definedName>
    <definedName name="OSRRefE14_3x" localSheetId="58">'326'!$J$20:$O$20</definedName>
    <definedName name="OSRRefE14_3x" localSheetId="51">'330'!$J$20:$O$20</definedName>
    <definedName name="OSRRefE14_3x" localSheetId="56">'331'!$J$21:$O$21</definedName>
    <definedName name="OSRRefE14_3x" localSheetId="47">'Div 3'!$J$25:$O$25</definedName>
    <definedName name="OSRRefE14_3x" localSheetId="61">'Div 6'!$J$21:$O$21</definedName>
    <definedName name="OSRRefE14_3x" localSheetId="2">Summary!$J$27:$O$27</definedName>
    <definedName name="OSRRefE14_4x" localSheetId="48">'300'!$J$24:$O$24</definedName>
    <definedName name="OSRRefE14_4x" localSheetId="49">'300 &amp; 317'!$J$24:$O$24</definedName>
    <definedName name="OSRRefE14_4x" localSheetId="52">'307'!$J$21:$O$21</definedName>
    <definedName name="OSRRefE14_4x" localSheetId="53">'308'!$J$22:$O$22</definedName>
    <definedName name="OSRRefE14_4x" localSheetId="54">'311'!$J$22:$O$22</definedName>
    <definedName name="OSRRefE14_4x" localSheetId="57">'315'!$J$22:$O$22</definedName>
    <definedName name="OSRRefE14_4x" localSheetId="62">'317'!$J$22:$O$22</definedName>
    <definedName name="OSRRefE14_4x" localSheetId="51">'330'!$J$21:$O$21</definedName>
    <definedName name="OSRRefE14_4x" localSheetId="56">'331'!$J$22:$O$22</definedName>
    <definedName name="OSRRefE14_4x" localSheetId="47">'Div 3'!$J$26:$O$26</definedName>
    <definedName name="OSRRefE14_4x" localSheetId="61">'Div 6'!$J$22:$O$22</definedName>
    <definedName name="OSRRefE14_4x" localSheetId="2">Summary!$J$28:$O$28</definedName>
    <definedName name="OSRRefE14_5x" localSheetId="48">'300'!$J$25:$O$25</definedName>
    <definedName name="OSRRefE14_5x" localSheetId="49">'300 &amp; 317'!$J$25:$O$25</definedName>
    <definedName name="OSRRefE14_5x" localSheetId="52">'307'!$J$22:$O$22</definedName>
    <definedName name="OSRRefE14_5x" localSheetId="53">'308'!$J$23:$O$23</definedName>
    <definedName name="OSRRefE14_5x" localSheetId="54">'311'!$J$23:$O$23</definedName>
    <definedName name="OSRRefE14_5x" localSheetId="57">'315'!$J$23:$O$23</definedName>
    <definedName name="OSRRefE14_5x" localSheetId="62">'317'!$J$23:$O$23</definedName>
    <definedName name="OSRRefE14_5x" localSheetId="51">'330'!$J$22:$O$22</definedName>
    <definedName name="OSRRefE14_5x" localSheetId="56">'331'!$J$23:$O$23</definedName>
    <definedName name="OSRRefE14_5x" localSheetId="47">'Div 3'!$J$27:$O$27</definedName>
    <definedName name="OSRRefE14_5x" localSheetId="61">'Div 6'!$J$23:$O$23</definedName>
    <definedName name="OSRRefE14_5x" localSheetId="2">Summary!$J$29:$O$29</definedName>
    <definedName name="OSRRefE14_6x" localSheetId="48">'300'!$J$26:$O$26</definedName>
    <definedName name="OSRRefE14_6x" localSheetId="49">'300 &amp; 317'!$J$26:$O$26</definedName>
    <definedName name="OSRRefE14_6x" localSheetId="52">'307'!$J$23:$O$23</definedName>
    <definedName name="OSRRefE14_6x" localSheetId="53">'308'!$J$24:$O$24</definedName>
    <definedName name="OSRRefE14_6x" localSheetId="54">'311'!$J$24:$O$24</definedName>
    <definedName name="OSRRefE14_6x" localSheetId="57">'315'!$J$24:$O$24</definedName>
    <definedName name="OSRRefE14_6x" localSheetId="62">'317'!$J$24:$O$24</definedName>
    <definedName name="OSRRefE14_6x" localSheetId="51">'330'!$J$23:$O$23</definedName>
    <definedName name="OSRRefE14_6x" localSheetId="56">'331'!$J$24:$O$24</definedName>
    <definedName name="OSRRefE14_6x" localSheetId="47">'Div 3'!$J$28:$O$28</definedName>
    <definedName name="OSRRefE14_6x" localSheetId="61">'Div 6'!$J$24:$O$24</definedName>
    <definedName name="OSRRefE14_6x" localSheetId="2">Summary!$J$30:$O$30</definedName>
    <definedName name="OSRRefE14_7x" localSheetId="48">'300'!$J$27:$O$27</definedName>
    <definedName name="OSRRefE14_7x" localSheetId="49">'300 &amp; 317'!$J$27:$O$27</definedName>
    <definedName name="OSRRefE14_7x" localSheetId="52">'307'!$J$24:$O$24</definedName>
    <definedName name="OSRRefE14_7x" localSheetId="53">'308'!$J$25:$O$25</definedName>
    <definedName name="OSRRefE14_7x" localSheetId="54">'311'!$J$25:$O$25</definedName>
    <definedName name="OSRRefE14_7x" localSheetId="57">'315'!$J$25:$O$25</definedName>
    <definedName name="OSRRefE14_7x" localSheetId="62">'317'!$J$25:$O$25</definedName>
    <definedName name="OSRRefE14_7x" localSheetId="51">'330'!$J$24:$O$24</definedName>
    <definedName name="OSRRefE14_7x" localSheetId="56">'331'!$J$25:$O$25</definedName>
    <definedName name="OSRRefE14_7x" localSheetId="47">'Div 3'!$J$29:$O$29</definedName>
    <definedName name="OSRRefE14_7x" localSheetId="61">'Div 6'!$J$25:$O$25</definedName>
    <definedName name="OSRRefE14_7x" localSheetId="2">Summary!$J$31:$O$31</definedName>
    <definedName name="OSRRefE14_8x" localSheetId="48">'300'!$J$28:$O$28</definedName>
    <definedName name="OSRRefE14_8x" localSheetId="49">'300 &amp; 317'!$J$28:$O$28</definedName>
    <definedName name="OSRRefE14_8x" localSheetId="52">'307'!$J$25:$O$25</definedName>
    <definedName name="OSRRefE14_8x" localSheetId="53">'308'!$J$26:$O$26</definedName>
    <definedName name="OSRRefE14_8x" localSheetId="54">'311'!$J$26:$O$26</definedName>
    <definedName name="OSRRefE14_8x" localSheetId="57">'315'!$J$26:$O$26</definedName>
    <definedName name="OSRRefE14_8x" localSheetId="62">'317'!$J$26:$O$26</definedName>
    <definedName name="OSRRefE14_8x" localSheetId="51">'330'!$J$25:$O$25</definedName>
    <definedName name="OSRRefE14_8x" localSheetId="56">'331'!$J$26:$O$26</definedName>
    <definedName name="OSRRefE14_8x" localSheetId="47">'Div 3'!$J$30:$O$30</definedName>
    <definedName name="OSRRefE14_8x" localSheetId="61">'Div 6'!$J$26:$O$26</definedName>
    <definedName name="OSRRefE14_8x" localSheetId="2">Summary!$J$32:$O$32</definedName>
    <definedName name="OSRRefE14_9x" localSheetId="48">'300'!$J$29:$O$29</definedName>
    <definedName name="OSRRefE14_9x" localSheetId="49">'300 &amp; 317'!$J$29:$O$29</definedName>
    <definedName name="OSRRefE14_9x" localSheetId="52">'307'!$J$26:$O$26</definedName>
    <definedName name="OSRRefE14_9x" localSheetId="53">'308'!$J$27:$O$27</definedName>
    <definedName name="OSRRefE14_9x" localSheetId="54">'311'!$J$27:$O$27</definedName>
    <definedName name="OSRRefE14_9x" localSheetId="57">'315'!$J$27:$O$27</definedName>
    <definedName name="OSRRefE14_9x" localSheetId="62">'317'!$J$27:$O$27</definedName>
    <definedName name="OSRRefE14_9x" localSheetId="51">'330'!$J$26:$O$26</definedName>
    <definedName name="OSRRefE14_9x" localSheetId="56">'331'!$J$27:$O$27</definedName>
    <definedName name="OSRRefE14_9x" localSheetId="47">'Div 3'!$J$31:$O$31</definedName>
    <definedName name="OSRRefE14_9x" localSheetId="61">'Div 6'!$J$27:$O$27</definedName>
    <definedName name="OSRRefE14_9x" localSheetId="2">Summary!$J$33:$O$33</definedName>
    <definedName name="OSRRefE14x_0" localSheetId="48">'300'!$J$20:$J$46</definedName>
    <definedName name="OSRRefE14x_0" localSheetId="49">'300 &amp; 317'!$J$20:$J$52</definedName>
    <definedName name="OSRRefE14x_0" localSheetId="50">'301'!$J$13</definedName>
    <definedName name="OSRRefE14x_0" localSheetId="52">'307'!$J$17:$J$26</definedName>
    <definedName name="OSRRefE14x_0" localSheetId="53">'308'!$J$18:$J$27</definedName>
    <definedName name="OSRRefE14x_0" localSheetId="63">'310'!$J$17:$J$19</definedName>
    <definedName name="OSRRefE14x_0" localSheetId="71">'310 &amp; 491'!$J$19:$J$21</definedName>
    <definedName name="OSRRefE14x_0" localSheetId="54">'311'!$J$18:$J$27</definedName>
    <definedName name="OSRRefE14x_0" localSheetId="57">'315'!$J$18:$J$36</definedName>
    <definedName name="OSRRefE14x_0" localSheetId="60">'316'!$J$18:$J$19</definedName>
    <definedName name="OSRRefE14x_0" localSheetId="62">'317'!$J$18:$J$27</definedName>
    <definedName name="OSRRefE14x_0" localSheetId="66">'321'!$J$15:$J$16</definedName>
    <definedName name="OSRRefE14x_0" localSheetId="55">'324'!$J$15</definedName>
    <definedName name="OSRRefE14x_0" localSheetId="68">'325'!$J$15:$J$17</definedName>
    <definedName name="OSRRefE14x_0" localSheetId="58">'326'!$J$17:$J$20</definedName>
    <definedName name="OSRRefE14x_0" localSheetId="69">'327'!$J$16:$J$18</definedName>
    <definedName name="OSRRefE14x_0" localSheetId="51">'330'!$J$17:$J$26</definedName>
    <definedName name="OSRRefE14x_0" localSheetId="56">'331'!$J$18:$J$36</definedName>
    <definedName name="OSRRefE14x_0" localSheetId="59">'332'!$J$18:$J$19</definedName>
    <definedName name="OSRRefE14x_0" localSheetId="73">'405'!$J$17:$J$19</definedName>
    <definedName name="OSRRefE14x_0" localSheetId="79">'415'!$J$17:$J$19</definedName>
    <definedName name="OSRRefE14x_0" localSheetId="80">'418'!$J$15:$J$16</definedName>
    <definedName name="OSRRefE14x_0" localSheetId="84">'425'!$J$14</definedName>
    <definedName name="OSRRefE14x_0" localSheetId="87">'433'!$J$17:$J$19</definedName>
    <definedName name="OSRRefE14x_0" localSheetId="88">'444'!$J$17:$J$19</definedName>
    <definedName name="OSRRefE14x_0" localSheetId="89">'450'!$J$17:$J$19</definedName>
    <definedName name="OSRRefE14x_0" localSheetId="72">'491'!$J$18:$J$20</definedName>
    <definedName name="OSRRefE14x_0" localSheetId="85">'492'!$J$17:$J$19</definedName>
    <definedName name="OSRRefE14x_0" localSheetId="47">'Div 3'!$J$22:$J$50</definedName>
    <definedName name="OSRRefE14x_0" localSheetId="70">'Div 4'!$J$19:$J$21</definedName>
    <definedName name="OSRRefE14x_0" localSheetId="61">'Div 6'!$J$18:$J$27</definedName>
    <definedName name="OSRRefE14x_0" localSheetId="2">Summary!$J$24:$J$58</definedName>
    <definedName name="OSRRefE14x_1" localSheetId="48">'300'!$K$20:$K$46</definedName>
    <definedName name="OSRRefE14x_1" localSheetId="49">'300 &amp; 317'!$K$20:$K$52</definedName>
    <definedName name="OSRRefE14x_1" localSheetId="50">'301'!$K$13</definedName>
    <definedName name="OSRRefE14x_1" localSheetId="52">'307'!$K$17:$K$26</definedName>
    <definedName name="OSRRefE14x_1" localSheetId="53">'308'!$K$18:$K$27</definedName>
    <definedName name="OSRRefE14x_1" localSheetId="63">'310'!$K$17:$K$19</definedName>
    <definedName name="OSRRefE14x_1" localSheetId="71">'310 &amp; 491'!$K$19:$K$21</definedName>
    <definedName name="OSRRefE14x_1" localSheetId="54">'311'!$K$18:$K$27</definedName>
    <definedName name="OSRRefE14x_1" localSheetId="57">'315'!$K$18:$K$36</definedName>
    <definedName name="OSRRefE14x_1" localSheetId="60">'316'!$K$18:$K$19</definedName>
    <definedName name="OSRRefE14x_1" localSheetId="62">'317'!$K$18:$K$27</definedName>
    <definedName name="OSRRefE14x_1" localSheetId="66">'321'!$K$15:$K$16</definedName>
    <definedName name="OSRRefE14x_1" localSheetId="55">'324'!$K$15</definedName>
    <definedName name="OSRRefE14x_1" localSheetId="68">'325'!$K$15:$K$17</definedName>
    <definedName name="OSRRefE14x_1" localSheetId="58">'326'!$K$17:$K$20</definedName>
    <definedName name="OSRRefE14x_1" localSheetId="69">'327'!$K$16:$K$18</definedName>
    <definedName name="OSRRefE14x_1" localSheetId="51">'330'!$K$17:$K$26</definedName>
    <definedName name="OSRRefE14x_1" localSheetId="56">'331'!$K$18:$K$36</definedName>
    <definedName name="OSRRefE14x_1" localSheetId="59">'332'!$K$18:$K$19</definedName>
    <definedName name="OSRRefE14x_1" localSheetId="73">'405'!$K$17:$K$19</definedName>
    <definedName name="OSRRefE14x_1" localSheetId="79">'415'!$K$17:$K$19</definedName>
    <definedName name="OSRRefE14x_1" localSheetId="80">'418'!$K$15:$K$16</definedName>
    <definedName name="OSRRefE14x_1" localSheetId="84">'425'!$K$14</definedName>
    <definedName name="OSRRefE14x_1" localSheetId="87">'433'!$K$17:$K$19</definedName>
    <definedName name="OSRRefE14x_1" localSheetId="88">'444'!$K$17:$K$19</definedName>
    <definedName name="OSRRefE14x_1" localSheetId="89">'450'!$K$17:$K$19</definedName>
    <definedName name="OSRRefE14x_1" localSheetId="72">'491'!$K$18:$K$20</definedName>
    <definedName name="OSRRefE14x_1" localSheetId="85">'492'!$K$17:$K$19</definedName>
    <definedName name="OSRRefE14x_1" localSheetId="47">'Div 3'!$K$22:$K$50</definedName>
    <definedName name="OSRRefE14x_1" localSheetId="70">'Div 4'!$K$19:$K$21</definedName>
    <definedName name="OSRRefE14x_1" localSheetId="61">'Div 6'!$K$18:$K$27</definedName>
    <definedName name="OSRRefE14x_1" localSheetId="2">Summary!$K$24:$K$58</definedName>
    <definedName name="OSRRefE14x_2" localSheetId="48">'300'!$L$20:$L$46</definedName>
    <definedName name="OSRRefE14x_2" localSheetId="49">'300 &amp; 317'!$L$20:$L$52</definedName>
    <definedName name="OSRRefE14x_2" localSheetId="50">'301'!$L$13</definedName>
    <definedName name="OSRRefE14x_2" localSheetId="52">'307'!$L$17:$L$26</definedName>
    <definedName name="OSRRefE14x_2" localSheetId="53">'308'!$L$18:$L$27</definedName>
    <definedName name="OSRRefE14x_2" localSheetId="63">'310'!$L$17:$L$19</definedName>
    <definedName name="OSRRefE14x_2" localSheetId="71">'310 &amp; 491'!$L$19:$L$21</definedName>
    <definedName name="OSRRefE14x_2" localSheetId="54">'311'!$L$18:$L$27</definedName>
    <definedName name="OSRRefE14x_2" localSheetId="57">'315'!$L$18:$L$36</definedName>
    <definedName name="OSRRefE14x_2" localSheetId="60">'316'!$L$18:$L$19</definedName>
    <definedName name="OSRRefE14x_2" localSheetId="62">'317'!$L$18:$L$27</definedName>
    <definedName name="OSRRefE14x_2" localSheetId="66">'321'!$L$15:$L$16</definedName>
    <definedName name="OSRRefE14x_2" localSheetId="55">'324'!$L$15</definedName>
    <definedName name="OSRRefE14x_2" localSheetId="68">'325'!$L$15:$L$17</definedName>
    <definedName name="OSRRefE14x_2" localSheetId="58">'326'!$L$17:$L$20</definedName>
    <definedName name="OSRRefE14x_2" localSheetId="69">'327'!$L$16:$L$18</definedName>
    <definedName name="OSRRefE14x_2" localSheetId="51">'330'!$L$17:$L$26</definedName>
    <definedName name="OSRRefE14x_2" localSheetId="56">'331'!$L$18:$L$36</definedName>
    <definedName name="OSRRefE14x_2" localSheetId="59">'332'!$L$18:$L$19</definedName>
    <definedName name="OSRRefE14x_2" localSheetId="73">'405'!$L$17:$L$19</definedName>
    <definedName name="OSRRefE14x_2" localSheetId="79">'415'!$L$17:$L$19</definedName>
    <definedName name="OSRRefE14x_2" localSheetId="80">'418'!$L$15:$L$16</definedName>
    <definedName name="OSRRefE14x_2" localSheetId="84">'425'!$L$14</definedName>
    <definedName name="OSRRefE14x_2" localSheetId="87">'433'!$L$17:$L$19</definedName>
    <definedName name="OSRRefE14x_2" localSheetId="88">'444'!$L$17:$L$19</definedName>
    <definedName name="OSRRefE14x_2" localSheetId="89">'450'!$L$17:$L$19</definedName>
    <definedName name="OSRRefE14x_2" localSheetId="72">'491'!$L$18:$L$20</definedName>
    <definedName name="OSRRefE14x_2" localSheetId="85">'492'!$L$17:$L$19</definedName>
    <definedName name="OSRRefE14x_2" localSheetId="47">'Div 3'!$L$22:$L$50</definedName>
    <definedName name="OSRRefE14x_2" localSheetId="70">'Div 4'!$L$19:$L$21</definedName>
    <definedName name="OSRRefE14x_2" localSheetId="61">'Div 6'!$L$18:$L$27</definedName>
    <definedName name="OSRRefE14x_2" localSheetId="2">Summary!$L$24:$L$58</definedName>
    <definedName name="OSRRefE14x_3" localSheetId="48">'300'!$M$20:$M$46</definedName>
    <definedName name="OSRRefE14x_3" localSheetId="49">'300 &amp; 317'!$M$20:$M$52</definedName>
    <definedName name="OSRRefE14x_3" localSheetId="50">'301'!$M$13</definedName>
    <definedName name="OSRRefE14x_3" localSheetId="52">'307'!$M$17:$M$26</definedName>
    <definedName name="OSRRefE14x_3" localSheetId="53">'308'!$M$18:$M$27</definedName>
    <definedName name="OSRRefE14x_3" localSheetId="63">'310'!$M$17:$M$19</definedName>
    <definedName name="OSRRefE14x_3" localSheetId="71">'310 &amp; 491'!$M$19:$M$21</definedName>
    <definedName name="OSRRefE14x_3" localSheetId="54">'311'!$M$18:$M$27</definedName>
    <definedName name="OSRRefE14x_3" localSheetId="57">'315'!$M$18:$M$36</definedName>
    <definedName name="OSRRefE14x_3" localSheetId="60">'316'!$M$18:$M$19</definedName>
    <definedName name="OSRRefE14x_3" localSheetId="62">'317'!$M$18:$M$27</definedName>
    <definedName name="OSRRefE14x_3" localSheetId="66">'321'!$M$15:$M$16</definedName>
    <definedName name="OSRRefE14x_3" localSheetId="55">'324'!$M$15</definedName>
    <definedName name="OSRRefE14x_3" localSheetId="68">'325'!$M$15:$M$17</definedName>
    <definedName name="OSRRefE14x_3" localSheetId="58">'326'!$M$17:$M$20</definedName>
    <definedName name="OSRRefE14x_3" localSheetId="69">'327'!$M$16:$M$18</definedName>
    <definedName name="OSRRefE14x_3" localSheetId="51">'330'!$M$17:$M$26</definedName>
    <definedName name="OSRRefE14x_3" localSheetId="56">'331'!$M$18:$M$36</definedName>
    <definedName name="OSRRefE14x_3" localSheetId="59">'332'!$M$18:$M$19</definedName>
    <definedName name="OSRRefE14x_3" localSheetId="73">'405'!$M$17:$M$19</definedName>
    <definedName name="OSRRefE14x_3" localSheetId="79">'415'!$M$17:$M$19</definedName>
    <definedName name="OSRRefE14x_3" localSheetId="80">'418'!$M$15:$M$16</definedName>
    <definedName name="OSRRefE14x_3" localSheetId="84">'425'!$M$14</definedName>
    <definedName name="OSRRefE14x_3" localSheetId="87">'433'!$M$17:$M$19</definedName>
    <definedName name="OSRRefE14x_3" localSheetId="88">'444'!$M$17:$M$19</definedName>
    <definedName name="OSRRefE14x_3" localSheetId="89">'450'!$M$17:$M$19</definedName>
    <definedName name="OSRRefE14x_3" localSheetId="72">'491'!$M$18:$M$20</definedName>
    <definedName name="OSRRefE14x_3" localSheetId="85">'492'!$M$17:$M$19</definedName>
    <definedName name="OSRRefE14x_3" localSheetId="47">'Div 3'!$M$22:$M$50</definedName>
    <definedName name="OSRRefE14x_3" localSheetId="70">'Div 4'!$M$19:$M$21</definedName>
    <definedName name="OSRRefE14x_3" localSheetId="61">'Div 6'!$M$18:$M$27</definedName>
    <definedName name="OSRRefE14x_3" localSheetId="2">Summary!$M$24:$M$58</definedName>
    <definedName name="OSRRefE14x_4" localSheetId="48">'300'!$N$20:$N$46</definedName>
    <definedName name="OSRRefE14x_4" localSheetId="49">'300 &amp; 317'!$N$20:$N$52</definedName>
    <definedName name="OSRRefE14x_4" localSheetId="50">'301'!$N$13</definedName>
    <definedName name="OSRRefE14x_4" localSheetId="52">'307'!$N$17:$N$26</definedName>
    <definedName name="OSRRefE14x_4" localSheetId="53">'308'!$N$18:$N$27</definedName>
    <definedName name="OSRRefE14x_4" localSheetId="63">'310'!$N$17:$N$19</definedName>
    <definedName name="OSRRefE14x_4" localSheetId="71">'310 &amp; 491'!$N$19:$N$21</definedName>
    <definedName name="OSRRefE14x_4" localSheetId="54">'311'!$N$18:$N$27</definedName>
    <definedName name="OSRRefE14x_4" localSheetId="57">'315'!$N$18:$N$36</definedName>
    <definedName name="OSRRefE14x_4" localSheetId="60">'316'!$N$18:$N$19</definedName>
    <definedName name="OSRRefE14x_4" localSheetId="62">'317'!$N$18:$N$27</definedName>
    <definedName name="OSRRefE14x_4" localSheetId="66">'321'!$N$15:$N$16</definedName>
    <definedName name="OSRRefE14x_4" localSheetId="55">'324'!$N$15</definedName>
    <definedName name="OSRRefE14x_4" localSheetId="68">'325'!$N$15:$N$17</definedName>
    <definedName name="OSRRefE14x_4" localSheetId="58">'326'!$N$17:$N$20</definedName>
    <definedName name="OSRRefE14x_4" localSheetId="69">'327'!$N$16:$N$18</definedName>
    <definedName name="OSRRefE14x_4" localSheetId="51">'330'!$N$17:$N$26</definedName>
    <definedName name="OSRRefE14x_4" localSheetId="56">'331'!$N$18:$N$36</definedName>
    <definedName name="OSRRefE14x_4" localSheetId="59">'332'!$N$18:$N$19</definedName>
    <definedName name="OSRRefE14x_4" localSheetId="73">'405'!$N$17:$N$19</definedName>
    <definedName name="OSRRefE14x_4" localSheetId="79">'415'!$N$17:$N$19</definedName>
    <definedName name="OSRRefE14x_4" localSheetId="80">'418'!$N$15:$N$16</definedName>
    <definedName name="OSRRefE14x_4" localSheetId="84">'425'!$N$14</definedName>
    <definedName name="OSRRefE14x_4" localSheetId="87">'433'!$N$17:$N$19</definedName>
    <definedName name="OSRRefE14x_4" localSheetId="88">'444'!$N$17:$N$19</definedName>
    <definedName name="OSRRefE14x_4" localSheetId="89">'450'!$N$17:$N$19</definedName>
    <definedName name="OSRRefE14x_4" localSheetId="72">'491'!$N$18:$N$20</definedName>
    <definedName name="OSRRefE14x_4" localSheetId="85">'492'!$N$17:$N$19</definedName>
    <definedName name="OSRRefE14x_4" localSheetId="47">'Div 3'!$N$22:$N$50</definedName>
    <definedName name="OSRRefE14x_4" localSheetId="70">'Div 4'!$N$19:$N$21</definedName>
    <definedName name="OSRRefE14x_4" localSheetId="61">'Div 6'!$N$18:$N$27</definedName>
    <definedName name="OSRRefE14x_4" localSheetId="2">Summary!$N$24:$N$58</definedName>
    <definedName name="OSRRefE14x_5" localSheetId="48">'300'!$O$20:$O$46</definedName>
    <definedName name="OSRRefE14x_5" localSheetId="49">'300 &amp; 317'!$O$20:$O$52</definedName>
    <definedName name="OSRRefE14x_5" localSheetId="50">'301'!$O$13</definedName>
    <definedName name="OSRRefE14x_5" localSheetId="52">'307'!$O$17:$O$26</definedName>
    <definedName name="OSRRefE14x_5" localSheetId="53">'308'!$O$18:$O$27</definedName>
    <definedName name="OSRRefE14x_5" localSheetId="63">'310'!$O$17:$O$19</definedName>
    <definedName name="OSRRefE14x_5" localSheetId="71">'310 &amp; 491'!$O$19:$O$21</definedName>
    <definedName name="OSRRefE14x_5" localSheetId="54">'311'!$O$18:$O$27</definedName>
    <definedName name="OSRRefE14x_5" localSheetId="57">'315'!$O$18:$O$36</definedName>
    <definedName name="OSRRefE14x_5" localSheetId="60">'316'!$O$18:$O$19</definedName>
    <definedName name="OSRRefE14x_5" localSheetId="62">'317'!$O$18:$O$27</definedName>
    <definedName name="OSRRefE14x_5" localSheetId="66">'321'!$O$15:$O$16</definedName>
    <definedName name="OSRRefE14x_5" localSheetId="55">'324'!$O$15</definedName>
    <definedName name="OSRRefE14x_5" localSheetId="68">'325'!$O$15:$O$17</definedName>
    <definedName name="OSRRefE14x_5" localSheetId="58">'326'!$O$17:$O$20</definedName>
    <definedName name="OSRRefE14x_5" localSheetId="69">'327'!$O$16:$O$18</definedName>
    <definedName name="OSRRefE14x_5" localSheetId="51">'330'!$O$17:$O$26</definedName>
    <definedName name="OSRRefE14x_5" localSheetId="56">'331'!$O$18:$O$36</definedName>
    <definedName name="OSRRefE14x_5" localSheetId="59">'332'!$O$18:$O$19</definedName>
    <definedName name="OSRRefE14x_5" localSheetId="73">'405'!$O$17:$O$19</definedName>
    <definedName name="OSRRefE14x_5" localSheetId="79">'415'!$O$17:$O$19</definedName>
    <definedName name="OSRRefE14x_5" localSheetId="80">'418'!$O$15:$O$16</definedName>
    <definedName name="OSRRefE14x_5" localSheetId="84">'425'!$O$14</definedName>
    <definedName name="OSRRefE14x_5" localSheetId="87">'433'!$O$17:$O$19</definedName>
    <definedName name="OSRRefE14x_5" localSheetId="88">'444'!$O$17:$O$19</definedName>
    <definedName name="OSRRefE14x_5" localSheetId="89">'450'!$O$17:$O$19</definedName>
    <definedName name="OSRRefE14x_5" localSheetId="72">'491'!$O$18:$O$20</definedName>
    <definedName name="OSRRefE14x_5" localSheetId="85">'492'!$O$17:$O$19</definedName>
    <definedName name="OSRRefE14x_5" localSheetId="47">'Div 3'!$O$22:$O$50</definedName>
    <definedName name="OSRRefE14x_5" localSheetId="70">'Div 4'!$O$19:$O$21</definedName>
    <definedName name="OSRRefE14x_5" localSheetId="61">'Div 6'!$O$18:$O$27</definedName>
    <definedName name="OSRRefE14x_5" localSheetId="2">Summary!$O$24:$O$58</definedName>
    <definedName name="OSRRefE20_0x" localSheetId="40">'200'!$J$18:$O$18</definedName>
    <definedName name="OSRRefE20_0x" localSheetId="41">'201'!$J$18:$O$18</definedName>
    <definedName name="OSRRefE20_0x" localSheetId="42">'202'!$J$18:$O$18</definedName>
    <definedName name="OSRRefE20_0x" localSheetId="43">'203'!$J$18:$O$18</definedName>
    <definedName name="OSRRefE20_0x" localSheetId="44">'204'!$J$18:$O$18</definedName>
    <definedName name="OSRRefE20_0x" localSheetId="45">'205'!$J$18:$O$18</definedName>
    <definedName name="OSRRefE20_0x" localSheetId="46">'206'!$J$18:$O$18</definedName>
    <definedName name="OSRRefE20_0x" localSheetId="48">'300'!$J$52:$O$52</definedName>
    <definedName name="OSRRefE20_0x" localSheetId="49">'300 &amp; 317'!$J$58:$O$58</definedName>
    <definedName name="OSRRefE20_0x" localSheetId="50">'301'!$J$19:$O$19</definedName>
    <definedName name="OSRRefE20_0x" localSheetId="52">'307'!$J$32:$O$32</definedName>
    <definedName name="OSRRefE20_0x" localSheetId="53">'308'!$J$33:$O$33</definedName>
    <definedName name="OSRRefE20_0x" localSheetId="64">'309'!$J$18:$O$18</definedName>
    <definedName name="OSRRefE20_0x" localSheetId="63">'310'!$J$25:$O$25</definedName>
    <definedName name="OSRRefE20_0x" localSheetId="71">'310 &amp; 491'!$J$27:$O$27</definedName>
    <definedName name="OSRRefE20_0x" localSheetId="54">'311'!$J$33:$O$33</definedName>
    <definedName name="OSRRefE20_0x" localSheetId="65">'313'!$J$18:$O$18</definedName>
    <definedName name="OSRRefE20_0x" localSheetId="57">'315'!$J$42:$O$42</definedName>
    <definedName name="OSRRefE20_0x" localSheetId="60">'316'!$J$25:$O$25</definedName>
    <definedName name="OSRRefE20_0x" localSheetId="62">'317'!$J$33:$O$33</definedName>
    <definedName name="OSRRefE20_0x" localSheetId="66">'321'!$J$22:$O$22</definedName>
    <definedName name="OSRRefE20_0x" localSheetId="67">'322'!$J$18:$O$18</definedName>
    <definedName name="OSRRefE20_0x" localSheetId="68">'325'!$J$23:$O$23</definedName>
    <definedName name="OSRRefE20_0x" localSheetId="58">'326'!$J$26:$O$26</definedName>
    <definedName name="OSRRefE20_0x" localSheetId="69">'327'!$J$24:$O$24</definedName>
    <definedName name="OSRRefE20_0x" localSheetId="51">'330'!$J$32:$O$32</definedName>
    <definedName name="OSRRefE20_0x" localSheetId="56">'331'!$J$42:$O$42</definedName>
    <definedName name="OSRRefE20_0x" localSheetId="59">'332'!$J$25:$O$25</definedName>
    <definedName name="OSRRefE20_0x" localSheetId="73">'405'!$J$25:$O$25</definedName>
    <definedName name="OSRRefE20_0x" localSheetId="74">'406'!$J$18:$O$18</definedName>
    <definedName name="OSRRefE20_0x" localSheetId="75">'411'!$J$18:$O$18</definedName>
    <definedName name="OSRRefE20_0x" localSheetId="76">'412'!$J$18:$O$18</definedName>
    <definedName name="OSRRefE20_0x" localSheetId="77">'413'!$J$18:$O$18</definedName>
    <definedName name="OSRRefE20_0x" localSheetId="78">'414'!$J$18:$O$18</definedName>
    <definedName name="OSRRefE20_0x" localSheetId="79">'415'!$J$25:$O$25</definedName>
    <definedName name="OSRRefE20_0x" localSheetId="80">'418'!$J$22:$O$22</definedName>
    <definedName name="OSRRefE20_0x" localSheetId="81">'423'!$J$18:$O$18</definedName>
    <definedName name="OSRRefE20_0x" localSheetId="82">'424'!$J$18:$O$18</definedName>
    <definedName name="OSRRefE20_0x" localSheetId="84">'425'!$J$20:$O$20</definedName>
    <definedName name="OSRRefE20_0x" localSheetId="86">'430'!$J$18:$O$18</definedName>
    <definedName name="OSRRefE20_0x" localSheetId="87">'433'!$J$25:$O$25</definedName>
    <definedName name="OSRRefE20_0x" localSheetId="88">'444'!$J$25:$O$25</definedName>
    <definedName name="OSRRefE20_0x" localSheetId="89">'450'!$J$25:$O$25</definedName>
    <definedName name="OSRRefE20_0x" localSheetId="72">'491'!$J$26:$O$26</definedName>
    <definedName name="OSRRefE20_0x" localSheetId="85">'492'!$J$25:$O$25</definedName>
    <definedName name="OSRRefE20_0x" localSheetId="91">'501'!$J$19:$O$19</definedName>
    <definedName name="OSRRefE20_0x" localSheetId="39">'Div 2'!$J$18:$O$18</definedName>
    <definedName name="OSRRefE20_0x" localSheetId="47">'Div 3'!$J$56:$O$56</definedName>
    <definedName name="OSRRefE20_0x" localSheetId="70">'Div 4'!$J$27:$O$27</definedName>
    <definedName name="OSRRefE20_0x" localSheetId="90">'Div 5'!$J$19:$O$19</definedName>
    <definedName name="OSRRefE20_0x" localSheetId="61">'Div 6'!$J$33:$O$33</definedName>
    <definedName name="OSRRefE20_0x" localSheetId="2">Summary!$J$64:$O$64</definedName>
    <definedName name="OSRRefE20_10x" localSheetId="41">'201'!$J$57:$O$57</definedName>
    <definedName name="OSRRefE20_10x" localSheetId="42">'202'!$J$57:$O$57</definedName>
    <definedName name="OSRRefE20_10x" localSheetId="43">'203'!$J$59:$O$59</definedName>
    <definedName name="OSRRefE20_10x" localSheetId="48">'300'!$J$92:$O$92</definedName>
    <definedName name="OSRRefE20_10x" localSheetId="49">'300 &amp; 317'!$J$98:$O$98</definedName>
    <definedName name="OSRRefE20_10x" localSheetId="50">'301'!$J$59:$O$59</definedName>
    <definedName name="OSRRefE20_10x" localSheetId="52">'307'!$J$69:$O$69</definedName>
    <definedName name="OSRRefE20_10x" localSheetId="53">'308'!$J$74:$O$74</definedName>
    <definedName name="OSRRefE20_10x" localSheetId="63">'310'!$J$63:$O$63</definedName>
    <definedName name="OSRRefE20_10x" localSheetId="71">'310 &amp; 491'!$J$66:$O$66</definedName>
    <definedName name="OSRRefE20_10x" localSheetId="54">'311'!$J$74:$O$74</definedName>
    <definedName name="OSRRefE20_10x" localSheetId="57">'315'!$J$80:$O$80</definedName>
    <definedName name="OSRRefE20_10x" localSheetId="60">'316'!$J$67:$O$67</definedName>
    <definedName name="OSRRefE20_10x" localSheetId="66">'321'!$J$64:$O$64</definedName>
    <definedName name="OSRRefE20_10x" localSheetId="68">'325'!$J$61:$O$61</definedName>
    <definedName name="OSRRefE20_10x" localSheetId="58">'326'!$J$63:$O$63</definedName>
    <definedName name="OSRRefE20_10x" localSheetId="51">'330'!$J$69:$O$69</definedName>
    <definedName name="OSRRefE20_10x" localSheetId="56">'331'!$J$80:$O$80</definedName>
    <definedName name="OSRRefE20_10x" localSheetId="59">'332'!$J$67:$O$67</definedName>
    <definedName name="OSRRefE20_10x" localSheetId="73">'405'!$J$64:$O$64</definedName>
    <definedName name="OSRRefE20_10x" localSheetId="75">'411'!$J$60:$O$60</definedName>
    <definedName name="OSRRefE20_10x" localSheetId="79">'415'!$J$63:$O$63</definedName>
    <definedName name="OSRRefE20_10x" localSheetId="80">'418'!$J$64:$O$64</definedName>
    <definedName name="OSRRefE20_10x" localSheetId="87">'433'!$J$63:$O$63</definedName>
    <definedName name="OSRRefE20_10x" localSheetId="88">'444'!$J$63:$O$63</definedName>
    <definedName name="OSRRefE20_10x" localSheetId="89">'450'!$J$63:$O$63</definedName>
    <definedName name="OSRRefE20_10x" localSheetId="72">'491'!$J$65:$O$65</definedName>
    <definedName name="OSRRefE20_10x" localSheetId="85">'492'!$J$63:$O$63</definedName>
    <definedName name="OSRRefE20_10x" localSheetId="91">'501'!$J$59:$O$59</definedName>
    <definedName name="OSRRefE20_10x" localSheetId="39">'Div 2'!$J$58:$O$58</definedName>
    <definedName name="OSRRefE20_10x" localSheetId="47">'Div 3'!$J$96:$O$96</definedName>
    <definedName name="OSRRefE20_10x" localSheetId="70">'Div 4'!$J$67:$O$67</definedName>
    <definedName name="OSRRefE20_10x" localSheetId="90">'Div 5'!$J$59:$O$59</definedName>
    <definedName name="OSRRefE20_10x" localSheetId="2">Summary!$J$104:$O$104</definedName>
    <definedName name="OSRRefE20_11x" localSheetId="41">'201'!$J$60:$O$60</definedName>
    <definedName name="OSRRefE20_11x" localSheetId="42">'202'!$J$59:$O$59</definedName>
    <definedName name="OSRRefE20_11x" localSheetId="43">'203'!$J$61:$O$61</definedName>
    <definedName name="OSRRefE20_11x" localSheetId="48">'300'!$J$95:$O$95</definedName>
    <definedName name="OSRRefE20_11x" localSheetId="49">'300 &amp; 317'!$J$101:$O$101</definedName>
    <definedName name="OSRRefE20_11x" localSheetId="50">'301'!$J$61:$O$61</definedName>
    <definedName name="OSRRefE20_11x" localSheetId="52">'307'!$J$72:$O$72</definedName>
    <definedName name="OSRRefE20_11x" localSheetId="53">'308'!$J$77:$O$77</definedName>
    <definedName name="OSRRefE20_11x" localSheetId="63">'310'!$J$65:$O$65</definedName>
    <definedName name="OSRRefE20_11x" localSheetId="71">'310 &amp; 491'!$J$68:$O$68</definedName>
    <definedName name="OSRRefE20_11x" localSheetId="54">'311'!$J$77:$O$77</definedName>
    <definedName name="OSRRefE20_11x" localSheetId="57">'315'!$J$82:$O$82</definedName>
    <definedName name="OSRRefE20_11x" localSheetId="66">'321'!$J$66:$O$66</definedName>
    <definedName name="OSRRefE20_11x" localSheetId="68">'325'!$J$63:$O$63</definedName>
    <definedName name="OSRRefE20_11x" localSheetId="58">'326'!$J$65:$O$65</definedName>
    <definedName name="OSRRefE20_11x" localSheetId="51">'330'!$J$72:$O$72</definedName>
    <definedName name="OSRRefE20_11x" localSheetId="56">'331'!$J$82:$O$82</definedName>
    <definedName name="OSRRefE20_11x" localSheetId="73">'405'!$J$68:$O$68</definedName>
    <definedName name="OSRRefE20_11x" localSheetId="75">'411'!$J$62:$O$62</definedName>
    <definedName name="OSRRefE20_11x" localSheetId="79">'415'!$J$65:$O$65</definedName>
    <definedName name="OSRRefE20_11x" localSheetId="80">'418'!$J$66:$O$66</definedName>
    <definedName name="OSRRefE20_11x" localSheetId="87">'433'!$J$65:$O$65</definedName>
    <definedName name="OSRRefE20_11x" localSheetId="88">'444'!$J$65:$O$65</definedName>
    <definedName name="OSRRefE20_11x" localSheetId="89">'450'!$J$65:$O$65</definedName>
    <definedName name="OSRRefE20_11x" localSheetId="72">'491'!$J$67:$O$67</definedName>
    <definedName name="OSRRefE20_11x" localSheetId="85">'492'!$J$65:$O$65</definedName>
    <definedName name="OSRRefE20_11x" localSheetId="91">'501'!$J$61:$O$61</definedName>
    <definedName name="OSRRefE20_11x" localSheetId="39">'Div 2'!$J$60:$O$60</definedName>
    <definedName name="OSRRefE20_11x" localSheetId="47">'Div 3'!$J$99:$O$99</definedName>
    <definedName name="OSRRefE20_11x" localSheetId="70">'Div 4'!$J$69:$O$69</definedName>
    <definedName name="OSRRefE20_11x" localSheetId="90">'Div 5'!$J$61:$O$61</definedName>
    <definedName name="OSRRefE20_11x" localSheetId="2">Summary!$J$107:$O$107</definedName>
    <definedName name="OSRRefE20_12x" localSheetId="41">'201'!$J$62:$O$62</definedName>
    <definedName name="OSRRefE20_12x" localSheetId="42">'202'!$J$61:$O$61</definedName>
    <definedName name="OSRRefE20_12x" localSheetId="43">'203'!$J$66:$O$66</definedName>
    <definedName name="OSRRefE20_12x" localSheetId="48">'300'!$J$97:$O$97</definedName>
    <definedName name="OSRRefE20_12x" localSheetId="49">'300 &amp; 317'!$J$103:$O$103</definedName>
    <definedName name="OSRRefE20_12x" localSheetId="50">'301'!$J$63:$O$63</definedName>
    <definedName name="OSRRefE20_12x" localSheetId="52">'307'!$J$77:$O$77</definedName>
    <definedName name="OSRRefE20_12x" localSheetId="53">'308'!$J$80:$O$80</definedName>
    <definedName name="OSRRefE20_12x" localSheetId="63">'310'!$J$68:$O$68</definedName>
    <definedName name="OSRRefE20_12x" localSheetId="71">'310 &amp; 491'!$J$70:$O$70</definedName>
    <definedName name="OSRRefE20_12x" localSheetId="54">'311'!$J$80:$O$80</definedName>
    <definedName name="OSRRefE20_12x" localSheetId="57">'315'!$J$84:$O$84</definedName>
    <definedName name="OSRRefE20_12x" localSheetId="68">'325'!$J$66:$O$66</definedName>
    <definedName name="OSRRefE20_12x" localSheetId="58">'326'!$J$68:$O$68</definedName>
    <definedName name="OSRRefE20_12x" localSheetId="51">'330'!$J$77:$O$77</definedName>
    <definedName name="OSRRefE20_12x" localSheetId="56">'331'!$J$84:$O$84</definedName>
    <definedName name="OSRRefE20_12x" localSheetId="73">'405'!$J$70:$O$70</definedName>
    <definedName name="OSRRefE20_12x" localSheetId="75">'411'!$J$64:$O$64</definedName>
    <definedName name="OSRRefE20_12x" localSheetId="79">'415'!$J$68:$O$68</definedName>
    <definedName name="OSRRefE20_12x" localSheetId="80">'418'!$J$74:$O$74</definedName>
    <definedName name="OSRRefE20_12x" localSheetId="87">'433'!$J$69:$O$69</definedName>
    <definedName name="OSRRefE20_12x" localSheetId="88">'444'!$J$68:$O$68</definedName>
    <definedName name="OSRRefE20_12x" localSheetId="89">'450'!$J$68:$O$68</definedName>
    <definedName name="OSRRefE20_12x" localSheetId="72">'491'!$J$69:$O$69</definedName>
    <definedName name="OSRRefE20_12x" localSheetId="85">'492'!$J$67:$O$67</definedName>
    <definedName name="OSRRefE20_12x" localSheetId="91">'501'!$J$65:$O$65</definedName>
    <definedName name="OSRRefE20_12x" localSheetId="39">'Div 2'!$J$62:$O$62</definedName>
    <definedName name="OSRRefE20_12x" localSheetId="47">'Div 3'!$J$101:$O$101</definedName>
    <definedName name="OSRRefE20_12x" localSheetId="70">'Div 4'!$J$71:$O$71</definedName>
    <definedName name="OSRRefE20_12x" localSheetId="90">'Div 5'!$J$65:$O$65</definedName>
    <definedName name="OSRRefE20_12x" localSheetId="2">Summary!$J$110:$O$110</definedName>
    <definedName name="OSRRefE20_13x" localSheetId="41">'201'!$J$65:$O$65</definedName>
    <definedName name="OSRRefE20_13x" localSheetId="43">'203'!$J$68:$O$68</definedName>
    <definedName name="OSRRefE20_13x" localSheetId="48">'300'!$J$99:$O$99</definedName>
    <definedName name="OSRRefE20_13x" localSheetId="49">'300 &amp; 317'!$J$105:$O$105</definedName>
    <definedName name="OSRRefE20_13x" localSheetId="50">'301'!$J$65:$O$65</definedName>
    <definedName name="OSRRefE20_13x" localSheetId="63">'310'!$J$70:$O$70</definedName>
    <definedName name="OSRRefE20_13x" localSheetId="71">'310 &amp; 491'!$J$75:$O$75</definedName>
    <definedName name="OSRRefE20_13x" localSheetId="57">'315'!$J$87:$O$87</definedName>
    <definedName name="OSRRefE20_13x" localSheetId="68">'325'!$J$70:$O$70</definedName>
    <definedName name="OSRRefE20_13x" localSheetId="58">'326'!$J$71:$O$71</definedName>
    <definedName name="OSRRefE20_13x" localSheetId="56">'331'!$J$86:$O$86</definedName>
    <definedName name="OSRRefE20_13x" localSheetId="73">'405'!$J$79:$O$79</definedName>
    <definedName name="OSRRefE20_13x" localSheetId="75">'411'!$J$66:$O$66</definedName>
    <definedName name="OSRRefE20_13x" localSheetId="79">'415'!$J$73:$O$73</definedName>
    <definedName name="OSRRefE20_13x" localSheetId="80">'418'!$J$77:$O$77</definedName>
    <definedName name="OSRRefE20_13x" localSheetId="87">'433'!$J$74:$O$74</definedName>
    <definedName name="OSRRefE20_13x" localSheetId="88">'444'!$J$73:$O$73</definedName>
    <definedName name="OSRRefE20_13x" localSheetId="89">'450'!$J$73:$O$73</definedName>
    <definedName name="OSRRefE20_13x" localSheetId="72">'491'!$J$74:$O$74</definedName>
    <definedName name="OSRRefE20_13x" localSheetId="85">'492'!$J$71:$O$71</definedName>
    <definedName name="OSRRefE20_13x" localSheetId="91">'501'!$J$67:$O$67</definedName>
    <definedName name="OSRRefE20_13x" localSheetId="39">'Div 2'!$J$67:$O$67</definedName>
    <definedName name="OSRRefE20_13x" localSheetId="47">'Div 3'!$J$103:$O$103</definedName>
    <definedName name="OSRRefE20_13x" localSheetId="70">'Div 4'!$J$73:$O$73</definedName>
    <definedName name="OSRRefE20_13x" localSheetId="90">'Div 5'!$J$67:$O$67</definedName>
    <definedName name="OSRRefE20_13x" localSheetId="2">Summary!$J$112:$O$112</definedName>
    <definedName name="OSRRefE20_14x" localSheetId="41">'201'!$J$67:$O$67</definedName>
    <definedName name="OSRRefE20_14x" localSheetId="48">'300'!$J$101:$O$101</definedName>
    <definedName name="OSRRefE20_14x" localSheetId="49">'300 &amp; 317'!$J$107:$O$107</definedName>
    <definedName name="OSRRefE20_14x" localSheetId="50">'301'!$J$67:$O$67</definedName>
    <definedName name="OSRRefE20_14x" localSheetId="63">'310'!$J$74:$O$74</definedName>
    <definedName name="OSRRefE20_14x" localSheetId="71">'310 &amp; 491'!$J$78:$O$78</definedName>
    <definedName name="OSRRefE20_14x" localSheetId="57">'315'!$J$91:$O$91</definedName>
    <definedName name="OSRRefE20_14x" localSheetId="68">'325'!$J$76:$O$76</definedName>
    <definedName name="OSRRefE20_14x" localSheetId="58">'326'!$J$74:$O$74</definedName>
    <definedName name="OSRRefE20_14x" localSheetId="56">'331'!$J$88:$O$88</definedName>
    <definedName name="OSRRefE20_14x" localSheetId="73">'405'!$J$81:$O$81</definedName>
    <definedName name="OSRRefE20_14x" localSheetId="75">'411'!$J$68:$O$68</definedName>
    <definedName name="OSRRefE20_14x" localSheetId="79">'415'!$J$75:$O$75</definedName>
    <definedName name="OSRRefE20_14x" localSheetId="80">'418'!$J$79:$O$79</definedName>
    <definedName name="OSRRefE20_14x" localSheetId="87">'433'!$J$83:$O$83</definedName>
    <definedName name="OSRRefE20_14x" localSheetId="88">'444'!$J$82:$O$82</definedName>
    <definedName name="OSRRefE20_14x" localSheetId="89">'450'!$J$81:$O$81</definedName>
    <definedName name="OSRRefE20_14x" localSheetId="72">'491'!$J$76:$O$76</definedName>
    <definedName name="OSRRefE20_14x" localSheetId="85">'492'!$J$76:$O$76</definedName>
    <definedName name="OSRRefE20_14x" localSheetId="39">'Div 2'!$J$72:$O$72</definedName>
    <definedName name="OSRRefE20_14x" localSheetId="47">'Div 3'!$J$105:$O$105</definedName>
    <definedName name="OSRRefE20_14x" localSheetId="70">'Div 4'!$J$75:$O$75</definedName>
    <definedName name="OSRRefE20_14x" localSheetId="2">Summary!$J$114:$O$114</definedName>
    <definedName name="OSRRefE20_15x" localSheetId="48">'300'!$J$103:$O$103</definedName>
    <definedName name="OSRRefE20_15x" localSheetId="49">'300 &amp; 317'!$J$109:$O$109</definedName>
    <definedName name="OSRRefE20_15x" localSheetId="50">'301'!$J$69:$O$69</definedName>
    <definedName name="OSRRefE20_15x" localSheetId="63">'310'!$J$80:$O$80</definedName>
    <definedName name="OSRRefE20_15x" localSheetId="71">'310 &amp; 491'!$J$84:$O$84</definedName>
    <definedName name="OSRRefE20_15x" localSheetId="57">'315'!$J$94:$O$94</definedName>
    <definedName name="OSRRefE20_15x" localSheetId="68">'325'!$J$79:$O$79</definedName>
    <definedName name="OSRRefE20_15x" localSheetId="58">'326'!$J$78:$O$78</definedName>
    <definedName name="OSRRefE20_15x" localSheetId="56">'331'!$J$91:$O$91</definedName>
    <definedName name="OSRRefE20_15x" localSheetId="73">'405'!$J$83:$O$83</definedName>
    <definedName name="OSRRefE20_15x" localSheetId="79">'415'!$J$81:$O$81</definedName>
    <definedName name="OSRRefE20_15x" localSheetId="80">'418'!$J$81:$O$81</definedName>
    <definedName name="OSRRefE20_15x" localSheetId="87">'433'!$J$85:$O$85</definedName>
    <definedName name="OSRRefE20_15x" localSheetId="88">'444'!$J$84:$O$84</definedName>
    <definedName name="OSRRefE20_15x" localSheetId="89">'450'!$J$83:$O$83</definedName>
    <definedName name="OSRRefE20_15x" localSheetId="72">'491'!$J$82:$O$82</definedName>
    <definedName name="OSRRefE20_15x" localSheetId="85">'492'!$J$85:$O$85</definedName>
    <definedName name="OSRRefE20_15x" localSheetId="39">'Div 2'!$J$75:$O$75</definedName>
    <definedName name="OSRRefE20_15x" localSheetId="47">'Div 3'!$J$107:$O$107</definedName>
    <definedName name="OSRRefE20_15x" localSheetId="70">'Div 4'!$J$80:$O$80</definedName>
    <definedName name="OSRRefE20_15x" localSheetId="2">Summary!$J$116:$O$116</definedName>
    <definedName name="OSRRefE20_16x" localSheetId="48">'300'!$J$105:$O$105</definedName>
    <definedName name="OSRRefE20_16x" localSheetId="49">'300 &amp; 317'!$J$111:$O$111</definedName>
    <definedName name="OSRRefE20_16x" localSheetId="50">'301'!$J$74:$O$74</definedName>
    <definedName name="OSRRefE20_16x" localSheetId="63">'310'!$J$83:$O$83</definedName>
    <definedName name="OSRRefE20_16x" localSheetId="71">'310 &amp; 491'!$J$86:$O$86</definedName>
    <definedName name="OSRRefE20_16x" localSheetId="57">'315'!$J$99:$O$99</definedName>
    <definedName name="OSRRefE20_16x" localSheetId="58">'326'!$J$80:$O$80</definedName>
    <definedName name="OSRRefE20_16x" localSheetId="56">'331'!$J$95:$O$95</definedName>
    <definedName name="OSRRefE20_16x" localSheetId="73">'405'!$J$85:$O$85</definedName>
    <definedName name="OSRRefE20_16x" localSheetId="79">'415'!$J$84:$O$84</definedName>
    <definedName name="OSRRefE20_16x" localSheetId="89">'450'!$J$85:$O$85</definedName>
    <definedName name="OSRRefE20_16x" localSheetId="72">'491'!$J$84:$O$84</definedName>
    <definedName name="OSRRefE20_16x" localSheetId="85">'492'!$J$88:$O$88</definedName>
    <definedName name="OSRRefE20_16x" localSheetId="39">'Div 2'!$J$77:$O$77</definedName>
    <definedName name="OSRRefE20_16x" localSheetId="47">'Div 3'!$J$109:$O$109</definedName>
    <definedName name="OSRRefE20_16x" localSheetId="70">'Div 4'!$J$82:$O$82</definedName>
    <definedName name="OSRRefE20_16x" localSheetId="2">Summary!$J$118:$O$118</definedName>
    <definedName name="OSRRefE20_17x" localSheetId="48">'300'!$J$110:$O$110</definedName>
    <definedName name="OSRRefE20_17x" localSheetId="49">'300 &amp; 317'!$J$116:$O$116</definedName>
    <definedName name="OSRRefE20_17x" localSheetId="50">'301'!$J$77:$O$77</definedName>
    <definedName name="OSRRefE20_17x" localSheetId="63">'310'!$J$85:$O$85</definedName>
    <definedName name="OSRRefE20_17x" localSheetId="71">'310 &amp; 491'!$J$97:$O$97</definedName>
    <definedName name="OSRRefE20_17x" localSheetId="57">'315'!$J$101:$O$101</definedName>
    <definedName name="OSRRefE20_17x" localSheetId="58">'326'!$J$83:$O$83</definedName>
    <definedName name="OSRRefE20_17x" localSheetId="56">'331'!$J$98:$O$98</definedName>
    <definedName name="OSRRefE20_17x" localSheetId="79">'415'!$J$86:$O$86</definedName>
    <definedName name="OSRRefE20_17x" localSheetId="72">'491'!$J$94:$O$94</definedName>
    <definedName name="OSRRefE20_17x" localSheetId="85">'492'!$J$90:$O$90</definedName>
    <definedName name="OSRRefE20_17x" localSheetId="39">'Div 2'!$J$83:$O$83</definedName>
    <definedName name="OSRRefE20_17x" localSheetId="47">'Div 3'!$J$111:$O$111</definedName>
    <definedName name="OSRRefE20_17x" localSheetId="70">'Div 4'!$J$88:$O$88</definedName>
    <definedName name="OSRRefE20_17x" localSheetId="2">Summary!$J$120:$O$120</definedName>
    <definedName name="OSRRefE20_18x" localSheetId="48">'300'!$J$115:$O$115</definedName>
    <definedName name="OSRRefE20_18x" localSheetId="49">'300 &amp; 317'!$J$121:$O$121</definedName>
    <definedName name="OSRRefE20_18x" localSheetId="50">'301'!$J$79:$O$79</definedName>
    <definedName name="OSRRefE20_18x" localSheetId="71">'310 &amp; 491'!$J$100:$O$100</definedName>
    <definedName name="OSRRefE20_18x" localSheetId="56">'331'!$J$101:$O$101</definedName>
    <definedName name="OSRRefE20_18x" localSheetId="72">'491'!$J$97:$O$97</definedName>
    <definedName name="OSRRefE20_18x" localSheetId="39">'Div 2'!$J$86:$O$86</definedName>
    <definedName name="OSRRefE20_18x" localSheetId="47">'Div 3'!$J$116:$O$116</definedName>
    <definedName name="OSRRefE20_18x" localSheetId="70">'Div 4'!$J$90:$O$90</definedName>
    <definedName name="OSRRefE20_18x" localSheetId="2">Summary!$J$122:$O$122</definedName>
    <definedName name="OSRRefE20_19x" localSheetId="48">'300'!$J$119:$O$119</definedName>
    <definedName name="OSRRefE20_19x" localSheetId="49">'300 &amp; 317'!$J$125:$O$125</definedName>
    <definedName name="OSRRefE20_19x" localSheetId="50">'301'!$J$86:$O$86</definedName>
    <definedName name="OSRRefE20_19x" localSheetId="71">'310 &amp; 491'!$J$102:$O$102</definedName>
    <definedName name="OSRRefE20_19x" localSheetId="56">'331'!$J$107:$O$107</definedName>
    <definedName name="OSRRefE20_19x" localSheetId="72">'491'!$J$99:$O$99</definedName>
    <definedName name="OSRRefE20_19x" localSheetId="39">'Div 2'!$J$88:$O$88</definedName>
    <definedName name="OSRRefE20_19x" localSheetId="47">'Div 3'!$J$121:$O$121</definedName>
    <definedName name="OSRRefE20_19x" localSheetId="70">'Div 4'!$J$101:$O$101</definedName>
    <definedName name="OSRRefE20_19x" localSheetId="2">Summary!$J$127:$O$127</definedName>
    <definedName name="OSRRefE20_1x" localSheetId="40">'200'!$J$20:$O$20</definedName>
    <definedName name="OSRRefE20_1x" localSheetId="41">'201'!$J$28:$O$28</definedName>
    <definedName name="OSRRefE20_1x" localSheetId="42">'202'!$J$28:$O$28</definedName>
    <definedName name="OSRRefE20_1x" localSheetId="43">'203'!$J$29:$O$29</definedName>
    <definedName name="OSRRefE20_1x" localSheetId="44">'204'!$J$28:$O$28</definedName>
    <definedName name="OSRRefE20_1x" localSheetId="45">'205'!$J$28:$O$28</definedName>
    <definedName name="OSRRefE20_1x" localSheetId="46">'206'!$J$28:$O$28</definedName>
    <definedName name="OSRRefE20_1x" localSheetId="48">'300'!$J$63:$O$63</definedName>
    <definedName name="OSRRefE20_1x" localSheetId="49">'300 &amp; 317'!$J$69:$O$69</definedName>
    <definedName name="OSRRefE20_1x" localSheetId="50">'301'!$J$30:$O$30</definedName>
    <definedName name="OSRRefE20_1x" localSheetId="52">'307'!$J$41:$O$41</definedName>
    <definedName name="OSRRefE20_1x" localSheetId="53">'308'!$J$44:$O$44</definedName>
    <definedName name="OSRRefE20_1x" localSheetId="64">'309'!$J$20:$O$20</definedName>
    <definedName name="OSRRefE20_1x" localSheetId="63">'310'!$J$35:$O$35</definedName>
    <definedName name="OSRRefE20_1x" localSheetId="71">'310 &amp; 491'!$J$37:$O$37</definedName>
    <definedName name="OSRRefE20_1x" localSheetId="54">'311'!$J$44:$O$44</definedName>
    <definedName name="OSRRefE20_1x" localSheetId="65">'313'!$J$20:$O$20</definedName>
    <definedName name="OSRRefE20_1x" localSheetId="57">'315'!$J$52:$O$52</definedName>
    <definedName name="OSRRefE20_1x" localSheetId="60">'316'!$J$35:$O$35</definedName>
    <definedName name="OSRRefE20_1x" localSheetId="62">'317'!$J$44:$O$44</definedName>
    <definedName name="OSRRefE20_1x" localSheetId="66">'321'!$J$32:$O$32</definedName>
    <definedName name="OSRRefE20_1x" localSheetId="68">'325'!$J$33:$O$33</definedName>
    <definedName name="OSRRefE20_1x" localSheetId="58">'326'!$J$36:$O$36</definedName>
    <definedName name="OSRRefE20_1x" localSheetId="51">'330'!$J$41:$O$41</definedName>
    <definedName name="OSRRefE20_1x" localSheetId="56">'331'!$J$52:$O$52</definedName>
    <definedName name="OSRRefE20_1x" localSheetId="59">'332'!$J$35:$O$35</definedName>
    <definedName name="OSRRefE20_1x" localSheetId="73">'405'!$J$35:$O$35</definedName>
    <definedName name="OSRRefE20_1x" localSheetId="75">'411'!$J$28:$O$28</definedName>
    <definedName name="OSRRefE20_1x" localSheetId="76">'412'!$J$20:$O$20</definedName>
    <definedName name="OSRRefE20_1x" localSheetId="77">'413'!$J$20:$O$20</definedName>
    <definedName name="OSRRefE20_1x" localSheetId="78">'414'!$J$20:$O$20</definedName>
    <definedName name="OSRRefE20_1x" localSheetId="79">'415'!$J$35:$O$35</definedName>
    <definedName name="OSRRefE20_1x" localSheetId="80">'418'!$J$32:$O$32</definedName>
    <definedName name="OSRRefE20_1x" localSheetId="81">'423'!$J$27:$O$27</definedName>
    <definedName name="OSRRefE20_1x" localSheetId="82">'424'!$J$20:$O$20</definedName>
    <definedName name="OSRRefE20_1x" localSheetId="84">'425'!$J$22:$O$22</definedName>
    <definedName name="OSRRefE20_1x" localSheetId="86">'430'!$J$28:$O$28</definedName>
    <definedName name="OSRRefE20_1x" localSheetId="87">'433'!$J$36:$O$36</definedName>
    <definedName name="OSRRefE20_1x" localSheetId="88">'444'!$J$36:$O$36</definedName>
    <definedName name="OSRRefE20_1x" localSheetId="89">'450'!$J$36:$O$36</definedName>
    <definedName name="OSRRefE20_1x" localSheetId="72">'491'!$J$36:$O$36</definedName>
    <definedName name="OSRRefE20_1x" localSheetId="85">'492'!$J$36:$O$36</definedName>
    <definedName name="OSRRefE20_1x" localSheetId="91">'501'!$J$30:$O$30</definedName>
    <definedName name="OSRRefE20_1x" localSheetId="39">'Div 2'!$J$30:$O$30</definedName>
    <definedName name="OSRRefE20_1x" localSheetId="47">'Div 3'!$J$67:$O$67</definedName>
    <definedName name="OSRRefE20_1x" localSheetId="70">'Div 4'!$J$38:$O$38</definedName>
    <definedName name="OSRRefE20_1x" localSheetId="90">'Div 5'!$J$30:$O$30</definedName>
    <definedName name="OSRRefE20_1x" localSheetId="61">'Div 6'!$J$44:$O$44</definedName>
    <definedName name="OSRRefE20_1x" localSheetId="2">Summary!$J$75:$O$75</definedName>
    <definedName name="OSRRefE20_20x" localSheetId="48">'300'!$J$122:$O$122</definedName>
    <definedName name="OSRRefE20_20x" localSheetId="49">'300 &amp; 317'!$J$128:$O$128</definedName>
    <definedName name="OSRRefE20_20x" localSheetId="50">'301'!$J$88:$O$88</definedName>
    <definedName name="OSRRefE20_20x" localSheetId="71">'310 &amp; 491'!$J$104:$O$104</definedName>
    <definedName name="OSRRefE20_20x" localSheetId="56">'331'!$J$109:$O$109</definedName>
    <definedName name="OSRRefE20_20x" localSheetId="72">'491'!$J$101:$O$101</definedName>
    <definedName name="OSRRefE20_20x" localSheetId="47">'Div 3'!$J$126:$O$126</definedName>
    <definedName name="OSRRefE20_20x" localSheetId="70">'Div 4'!$J$104:$O$104</definedName>
    <definedName name="OSRRefE20_20x" localSheetId="2">Summary!$J$132:$O$132</definedName>
    <definedName name="OSRRefE20_21x" localSheetId="48">'300'!$J$130:$O$130</definedName>
    <definedName name="OSRRefE20_21x" localSheetId="49">'300 &amp; 317'!$J$136:$O$136</definedName>
    <definedName name="OSRRefE20_21x" localSheetId="50">'301'!$J$90:$O$90</definedName>
    <definedName name="OSRRefE20_21x" localSheetId="56">'331'!$J$112:$O$112</definedName>
    <definedName name="OSRRefE20_21x" localSheetId="47">'Div 3'!$J$129:$O$129</definedName>
    <definedName name="OSRRefE20_21x" localSheetId="70">'Div 4'!$J$106:$O$106</definedName>
    <definedName name="OSRRefE20_21x" localSheetId="2">Summary!$J$138:$O$138</definedName>
    <definedName name="OSRRefE20_22x" localSheetId="48">'300'!$J$133:$O$133</definedName>
    <definedName name="OSRRefE20_22x" localSheetId="49">'300 &amp; 317'!$J$139:$O$139</definedName>
    <definedName name="OSRRefE20_22x" localSheetId="50">'301'!$J$93:$O$93</definedName>
    <definedName name="OSRRefE20_22x" localSheetId="47">'Div 3'!$J$137:$O$137</definedName>
    <definedName name="OSRRefE20_22x" localSheetId="70">'Div 4'!$J$109:$O$109</definedName>
    <definedName name="OSRRefE20_22x" localSheetId="2">Summary!$J$141:$O$141</definedName>
    <definedName name="OSRRefE20_23x" localSheetId="48">'300'!$J$135:$O$135</definedName>
    <definedName name="OSRRefE20_23x" localSheetId="49">'300 &amp; 317'!$J$141:$O$141</definedName>
    <definedName name="OSRRefE20_23x" localSheetId="47">'Div 3'!$J$140:$O$140</definedName>
    <definedName name="OSRRefE20_23x" localSheetId="2">Summary!$J$152:$O$152</definedName>
    <definedName name="OSRRefE20_24x" localSheetId="48">'300'!$J$139:$O$139</definedName>
    <definedName name="OSRRefE20_24x" localSheetId="49">'300 &amp; 317'!$J$145:$O$145</definedName>
    <definedName name="OSRRefE20_24x" localSheetId="47">'Div 3'!$J$142:$O$142</definedName>
    <definedName name="OSRRefE20_24x" localSheetId="2">Summary!$J$155:$O$155</definedName>
    <definedName name="OSRRefE20_25x" localSheetId="47">'Div 3'!$J$146:$O$146</definedName>
    <definedName name="OSRRefE20_25x" localSheetId="2">Summary!$J$157:$O$157</definedName>
    <definedName name="OSRRefE20_26x" localSheetId="2">Summary!$J$161:$O$161</definedName>
    <definedName name="OSRRefE20_2x" localSheetId="40">'200'!$J$22:$O$22</definedName>
    <definedName name="OSRRefE20_2x" localSheetId="41">'201'!$J$39:$O$39</definedName>
    <definedName name="OSRRefE20_2x" localSheetId="42">'202'!$J$39:$O$39</definedName>
    <definedName name="OSRRefE20_2x" localSheetId="43">'203'!$J$40:$O$40</definedName>
    <definedName name="OSRRefE20_2x" localSheetId="44">'204'!$J$39:$O$39</definedName>
    <definedName name="OSRRefE20_2x" localSheetId="45">'205'!$J$39:$O$39</definedName>
    <definedName name="OSRRefE20_2x" localSheetId="46">'206'!$J$39:$O$39</definedName>
    <definedName name="OSRRefE20_2x" localSheetId="48">'300'!$J$74:$O$74</definedName>
    <definedName name="OSRRefE20_2x" localSheetId="49">'300 &amp; 317'!$J$80:$O$80</definedName>
    <definedName name="OSRRefE20_2x" localSheetId="50">'301'!$J$41:$O$41</definedName>
    <definedName name="OSRRefE20_2x" localSheetId="52">'307'!$J$52:$O$52</definedName>
    <definedName name="OSRRefE20_2x" localSheetId="53">'308'!$J$55:$O$55</definedName>
    <definedName name="OSRRefE20_2x" localSheetId="64">'309'!$J$22:$O$22</definedName>
    <definedName name="OSRRefE20_2x" localSheetId="63">'310'!$J$46:$O$46</definedName>
    <definedName name="OSRRefE20_2x" localSheetId="71">'310 &amp; 491'!$J$48:$O$48</definedName>
    <definedName name="OSRRefE20_2x" localSheetId="54">'311'!$J$55:$O$55</definedName>
    <definedName name="OSRRefE20_2x" localSheetId="65">'313'!$J$22:$O$22</definedName>
    <definedName name="OSRRefE20_2x" localSheetId="57">'315'!$J$63:$O$63</definedName>
    <definedName name="OSRRefE20_2x" localSheetId="60">'316'!$J$46:$O$46</definedName>
    <definedName name="OSRRefE20_2x" localSheetId="62">'317'!$J$55:$O$55</definedName>
    <definedName name="OSRRefE20_2x" localSheetId="66">'321'!$J$43:$O$43</definedName>
    <definedName name="OSRRefE20_2x" localSheetId="68">'325'!$J$44:$O$44</definedName>
    <definedName name="OSRRefE20_2x" localSheetId="58">'326'!$J$47:$O$47</definedName>
    <definedName name="OSRRefE20_2x" localSheetId="51">'330'!$J$52:$O$52</definedName>
    <definedName name="OSRRefE20_2x" localSheetId="56">'331'!$J$63:$O$63</definedName>
    <definedName name="OSRRefE20_2x" localSheetId="59">'332'!$J$46:$O$46</definedName>
    <definedName name="OSRRefE20_2x" localSheetId="73">'405'!$J$46:$O$46</definedName>
    <definedName name="OSRRefE20_2x" localSheetId="75">'411'!$J$39:$O$39</definedName>
    <definedName name="OSRRefE20_2x" localSheetId="76">'412'!$J$22:$O$22</definedName>
    <definedName name="OSRRefE20_2x" localSheetId="79">'415'!$J$46:$O$46</definedName>
    <definedName name="OSRRefE20_2x" localSheetId="80">'418'!$J$43:$O$43</definedName>
    <definedName name="OSRRefE20_2x" localSheetId="81">'423'!$J$38:$O$38</definedName>
    <definedName name="OSRRefE20_2x" localSheetId="84">'425'!$J$24:$O$24</definedName>
    <definedName name="OSRRefE20_2x" localSheetId="86">'430'!$J$39:$O$39</definedName>
    <definedName name="OSRRefE20_2x" localSheetId="87">'433'!$J$47:$O$47</definedName>
    <definedName name="OSRRefE20_2x" localSheetId="88">'444'!$J$47:$O$47</definedName>
    <definedName name="OSRRefE20_2x" localSheetId="89">'450'!$J$47:$O$47</definedName>
    <definedName name="OSRRefE20_2x" localSheetId="72">'491'!$J$47:$O$47</definedName>
    <definedName name="OSRRefE20_2x" localSheetId="85">'492'!$J$47:$O$47</definedName>
    <definedName name="OSRRefE20_2x" localSheetId="91">'501'!$J$41:$O$41</definedName>
    <definedName name="OSRRefE20_2x" localSheetId="39">'Div 2'!$J$41:$O$41</definedName>
    <definedName name="OSRRefE20_2x" localSheetId="47">'Div 3'!$J$78:$O$78</definedName>
    <definedName name="OSRRefE20_2x" localSheetId="70">'Div 4'!$J$49:$O$49</definedName>
    <definedName name="OSRRefE20_2x" localSheetId="90">'Div 5'!$J$41:$O$41</definedName>
    <definedName name="OSRRefE20_2x" localSheetId="61">'Div 6'!$J$55:$O$55</definedName>
    <definedName name="OSRRefE20_2x" localSheetId="2">Summary!$J$86:$O$86</definedName>
    <definedName name="OSRRefE20_3x" localSheetId="40">'200'!$J$24:$O$24</definedName>
    <definedName name="OSRRefE20_3x" localSheetId="41">'201'!$J$41:$O$41</definedName>
    <definedName name="OSRRefE20_3x" localSheetId="42">'202'!$J$41:$O$41</definedName>
    <definedName name="OSRRefE20_3x" localSheetId="43">'203'!$J$42:$O$42</definedName>
    <definedName name="OSRRefE20_3x" localSheetId="44">'204'!$J$42:$O$42</definedName>
    <definedName name="OSRRefE20_3x" localSheetId="45">'205'!$J$41:$O$41</definedName>
    <definedName name="OSRRefE20_3x" localSheetId="46">'206'!$J$41:$O$41</definedName>
    <definedName name="OSRRefE20_3x" localSheetId="48">'300'!$J$76:$O$76</definedName>
    <definedName name="OSRRefE20_3x" localSheetId="49">'300 &amp; 317'!$J$82:$O$82</definedName>
    <definedName name="OSRRefE20_3x" localSheetId="50">'301'!$J$43:$O$43</definedName>
    <definedName name="OSRRefE20_3x" localSheetId="52">'307'!$J$54:$O$54</definedName>
    <definedName name="OSRRefE20_3x" localSheetId="53">'308'!$J$57:$O$57</definedName>
    <definedName name="OSRRefE20_3x" localSheetId="64">'309'!$J$24:$O$24</definedName>
    <definedName name="OSRRefE20_3x" localSheetId="63">'310'!$J$48:$O$48</definedName>
    <definedName name="OSRRefE20_3x" localSheetId="71">'310 &amp; 491'!$J$50:$O$50</definedName>
    <definedName name="OSRRefE20_3x" localSheetId="54">'311'!$J$57:$O$57</definedName>
    <definedName name="OSRRefE20_3x" localSheetId="57">'315'!$J$65:$O$65</definedName>
    <definedName name="OSRRefE20_3x" localSheetId="60">'316'!$J$48:$O$48</definedName>
    <definedName name="OSRRefE20_3x" localSheetId="62">'317'!$J$57:$O$57</definedName>
    <definedName name="OSRRefE20_3x" localSheetId="66">'321'!$J$45:$O$45</definedName>
    <definedName name="OSRRefE20_3x" localSheetId="68">'325'!$J$46:$O$46</definedName>
    <definedName name="OSRRefE20_3x" localSheetId="58">'326'!$J$49:$O$49</definedName>
    <definedName name="OSRRefE20_3x" localSheetId="51">'330'!$J$54:$O$54</definedName>
    <definedName name="OSRRefE20_3x" localSheetId="56">'331'!$J$65:$O$65</definedName>
    <definedName name="OSRRefE20_3x" localSheetId="59">'332'!$J$48:$O$48</definedName>
    <definedName name="OSRRefE20_3x" localSheetId="73">'405'!$J$48:$O$48</definedName>
    <definedName name="OSRRefE20_3x" localSheetId="75">'411'!$J$41:$O$41</definedName>
    <definedName name="OSRRefE20_3x" localSheetId="79">'415'!$J$48:$O$48</definedName>
    <definedName name="OSRRefE20_3x" localSheetId="80">'418'!$J$45:$O$45</definedName>
    <definedName name="OSRRefE20_3x" localSheetId="81">'423'!$J$40:$O$40</definedName>
    <definedName name="OSRRefE20_3x" localSheetId="84">'425'!$J$26:$O$26</definedName>
    <definedName name="OSRRefE20_3x" localSheetId="86">'430'!$J$41:$O$41</definedName>
    <definedName name="OSRRefE20_3x" localSheetId="87">'433'!$J$49:$O$49</definedName>
    <definedName name="OSRRefE20_3x" localSheetId="88">'444'!$J$49:$O$49</definedName>
    <definedName name="OSRRefE20_3x" localSheetId="89">'450'!$J$49:$O$49</definedName>
    <definedName name="OSRRefE20_3x" localSheetId="72">'491'!$J$49:$O$49</definedName>
    <definedName name="OSRRefE20_3x" localSheetId="85">'492'!$J$49:$O$49</definedName>
    <definedName name="OSRRefE20_3x" localSheetId="91">'501'!$J$43:$O$43</definedName>
    <definedName name="OSRRefE20_3x" localSheetId="39">'Div 2'!$J$43:$O$43</definedName>
    <definedName name="OSRRefE20_3x" localSheetId="47">'Div 3'!$J$80:$O$80</definedName>
    <definedName name="OSRRefE20_3x" localSheetId="70">'Div 4'!$J$51:$O$51</definedName>
    <definedName name="OSRRefE20_3x" localSheetId="90">'Div 5'!$J$43:$O$43</definedName>
    <definedName name="OSRRefE20_3x" localSheetId="61">'Div 6'!$J$57:$O$57</definedName>
    <definedName name="OSRRefE20_3x" localSheetId="2">Summary!$J$88:$O$88</definedName>
    <definedName name="OSRRefE20_4x" localSheetId="41">'201'!$J$43:$O$43</definedName>
    <definedName name="OSRRefE20_4x" localSheetId="42">'202'!$J$43:$O$43</definedName>
    <definedName name="OSRRefE20_4x" localSheetId="43">'203'!$J$44:$O$44</definedName>
    <definedName name="OSRRefE20_4x" localSheetId="44">'204'!$J$44:$O$44</definedName>
    <definedName name="OSRRefE20_4x" localSheetId="45">'205'!$J$43:$O$43</definedName>
    <definedName name="OSRRefE20_4x" localSheetId="46">'206'!$J$44:$O$44</definedName>
    <definedName name="OSRRefE20_4x" localSheetId="48">'300'!$J$78:$O$78</definedName>
    <definedName name="OSRRefE20_4x" localSheetId="49">'300 &amp; 317'!$J$84:$O$84</definedName>
    <definedName name="OSRRefE20_4x" localSheetId="50">'301'!$J$45:$O$45</definedName>
    <definedName name="OSRRefE20_4x" localSheetId="52">'307'!$J$56:$O$56</definedName>
    <definedName name="OSRRefE20_4x" localSheetId="53">'308'!$J$59:$O$59</definedName>
    <definedName name="OSRRefE20_4x" localSheetId="64">'309'!$J$26:$O$26</definedName>
    <definedName name="OSRRefE20_4x" localSheetId="63">'310'!$J$50:$O$50</definedName>
    <definedName name="OSRRefE20_4x" localSheetId="71">'310 &amp; 491'!$J$52:$O$52</definedName>
    <definedName name="OSRRefE20_4x" localSheetId="54">'311'!$J$59:$O$59</definedName>
    <definedName name="OSRRefE20_4x" localSheetId="57">'315'!$J$67:$O$67</definedName>
    <definedName name="OSRRefE20_4x" localSheetId="60">'316'!$J$50:$O$50</definedName>
    <definedName name="OSRRefE20_4x" localSheetId="62">'317'!$J$59:$O$59</definedName>
    <definedName name="OSRRefE20_4x" localSheetId="66">'321'!$J$47:$O$47</definedName>
    <definedName name="OSRRefE20_4x" localSheetId="68">'325'!$J$48:$O$48</definedName>
    <definedName name="OSRRefE20_4x" localSheetId="58">'326'!$J$51:$O$51</definedName>
    <definedName name="OSRRefE20_4x" localSheetId="51">'330'!$J$56:$O$56</definedName>
    <definedName name="OSRRefE20_4x" localSheetId="56">'331'!$J$67:$O$67</definedName>
    <definedName name="OSRRefE20_4x" localSheetId="59">'332'!$J$50:$O$50</definedName>
    <definedName name="OSRRefE20_4x" localSheetId="73">'405'!$J$50:$O$50</definedName>
    <definedName name="OSRRefE20_4x" localSheetId="75">'411'!$J$44:$O$44</definedName>
    <definedName name="OSRRefE20_4x" localSheetId="79">'415'!$J$50:$O$50</definedName>
    <definedName name="OSRRefE20_4x" localSheetId="80">'418'!$J$47:$O$47</definedName>
    <definedName name="OSRRefE20_4x" localSheetId="81">'423'!$J$42:$O$42</definedName>
    <definedName name="OSRRefE20_4x" localSheetId="84">'425'!$J$28:$O$28</definedName>
    <definedName name="OSRRefE20_4x" localSheetId="86">'430'!$J$43:$O$43</definedName>
    <definedName name="OSRRefE20_4x" localSheetId="87">'433'!$J$51:$O$51</definedName>
    <definedName name="OSRRefE20_4x" localSheetId="88">'444'!$J$51:$O$51</definedName>
    <definedName name="OSRRefE20_4x" localSheetId="89">'450'!$J$51:$O$51</definedName>
    <definedName name="OSRRefE20_4x" localSheetId="72">'491'!$J$51:$O$51</definedName>
    <definedName name="OSRRefE20_4x" localSheetId="85">'492'!$J$51:$O$51</definedName>
    <definedName name="OSRRefE20_4x" localSheetId="91">'501'!$J$45:$O$45</definedName>
    <definedName name="OSRRefE20_4x" localSheetId="39">'Div 2'!$J$45:$O$45</definedName>
    <definedName name="OSRRefE20_4x" localSheetId="47">'Div 3'!$J$82:$O$82</definedName>
    <definedName name="OSRRefE20_4x" localSheetId="70">'Div 4'!$J$53:$O$53</definedName>
    <definedName name="OSRRefE20_4x" localSheetId="90">'Div 5'!$J$45:$O$45</definedName>
    <definedName name="OSRRefE20_4x" localSheetId="61">'Div 6'!$J$59:$O$59</definedName>
    <definedName name="OSRRefE20_4x" localSheetId="2">Summary!$J$90:$O$90</definedName>
    <definedName name="OSRRefE20_5x" localSheetId="41">'201'!$J$45:$O$45</definedName>
    <definedName name="OSRRefE20_5x" localSheetId="42">'202'!$J$45:$O$45</definedName>
    <definedName name="OSRRefE20_5x" localSheetId="43">'203'!$J$46:$O$46</definedName>
    <definedName name="OSRRefE20_5x" localSheetId="44">'204'!$J$49:$O$49</definedName>
    <definedName name="OSRRefE20_5x" localSheetId="45">'205'!$J$47:$O$47</definedName>
    <definedName name="OSRRefE20_5x" localSheetId="46">'206'!$J$46:$O$46</definedName>
    <definedName name="OSRRefE20_5x" localSheetId="48">'300'!$J$80:$O$80</definedName>
    <definedName name="OSRRefE20_5x" localSheetId="49">'300 &amp; 317'!$J$86:$O$86</definedName>
    <definedName name="OSRRefE20_5x" localSheetId="50">'301'!$J$47:$O$47</definedName>
    <definedName name="OSRRefE20_5x" localSheetId="52">'307'!$J$58:$O$58</definedName>
    <definedName name="OSRRefE20_5x" localSheetId="53">'308'!$J$61:$O$61</definedName>
    <definedName name="OSRRefE20_5x" localSheetId="64">'309'!$J$29:$O$29</definedName>
    <definedName name="OSRRefE20_5x" localSheetId="63">'310'!$J$52:$O$52</definedName>
    <definedName name="OSRRefE20_5x" localSheetId="71">'310 &amp; 491'!$J$54:$O$54</definedName>
    <definedName name="OSRRefE20_5x" localSheetId="54">'311'!$J$61:$O$61</definedName>
    <definedName name="OSRRefE20_5x" localSheetId="57">'315'!$J$69:$O$69</definedName>
    <definedName name="OSRRefE20_5x" localSheetId="60">'316'!$J$52:$O$52</definedName>
    <definedName name="OSRRefE20_5x" localSheetId="62">'317'!$J$61:$O$61</definedName>
    <definedName name="OSRRefE20_5x" localSheetId="66">'321'!$J$49:$O$49</definedName>
    <definedName name="OSRRefE20_5x" localSheetId="68">'325'!$J$50:$O$50</definedName>
    <definedName name="OSRRefE20_5x" localSheetId="58">'326'!$J$53:$O$53</definedName>
    <definedName name="OSRRefE20_5x" localSheetId="51">'330'!$J$58:$O$58</definedName>
    <definedName name="OSRRefE20_5x" localSheetId="56">'331'!$J$69:$O$69</definedName>
    <definedName name="OSRRefE20_5x" localSheetId="59">'332'!$J$52:$O$52</definedName>
    <definedName name="OSRRefE20_5x" localSheetId="73">'405'!$J$52:$O$52</definedName>
    <definedName name="OSRRefE20_5x" localSheetId="75">'411'!$J$46:$O$46</definedName>
    <definedName name="OSRRefE20_5x" localSheetId="79">'415'!$J$52:$O$52</definedName>
    <definedName name="OSRRefE20_5x" localSheetId="80">'418'!$J$50:$O$50</definedName>
    <definedName name="OSRRefE20_5x" localSheetId="86">'430'!$J$45:$O$45</definedName>
    <definedName name="OSRRefE20_5x" localSheetId="87">'433'!$J$53:$O$53</definedName>
    <definedName name="OSRRefE20_5x" localSheetId="88">'444'!$J$53:$O$53</definedName>
    <definedName name="OSRRefE20_5x" localSheetId="89">'450'!$J$53:$O$53</definedName>
    <definedName name="OSRRefE20_5x" localSheetId="72">'491'!$J$53:$O$53</definedName>
    <definedName name="OSRRefE20_5x" localSheetId="85">'492'!$J$53:$O$53</definedName>
    <definedName name="OSRRefE20_5x" localSheetId="91">'501'!$J$47:$O$47</definedName>
    <definedName name="OSRRefE20_5x" localSheetId="39">'Div 2'!$J$47:$O$47</definedName>
    <definedName name="OSRRefE20_5x" localSheetId="47">'Div 3'!$J$84:$O$84</definedName>
    <definedName name="OSRRefE20_5x" localSheetId="70">'Div 4'!$J$55:$O$55</definedName>
    <definedName name="OSRRefE20_5x" localSheetId="90">'Div 5'!$J$47:$O$47</definedName>
    <definedName name="OSRRefE20_5x" localSheetId="61">'Div 6'!$J$61:$O$61</definedName>
    <definedName name="OSRRefE20_5x" localSheetId="2">Summary!$J$92:$O$92</definedName>
    <definedName name="OSRRefE20_6x" localSheetId="41">'201'!$J$47:$O$47</definedName>
    <definedName name="OSRRefE20_6x" localSheetId="42">'202'!$J$47:$O$47</definedName>
    <definedName name="OSRRefE20_6x" localSheetId="43">'203'!$J$48:$O$48</definedName>
    <definedName name="OSRRefE20_6x" localSheetId="44">'204'!$J$51:$O$51</definedName>
    <definedName name="OSRRefE20_6x" localSheetId="45">'205'!$J$49:$O$49</definedName>
    <definedName name="OSRRefE20_6x" localSheetId="48">'300'!$J$83:$O$83</definedName>
    <definedName name="OSRRefE20_6x" localSheetId="49">'300 &amp; 317'!$J$89:$O$89</definedName>
    <definedName name="OSRRefE20_6x" localSheetId="50">'301'!$J$50:$O$50</definedName>
    <definedName name="OSRRefE20_6x" localSheetId="52">'307'!$J$60:$O$60</definedName>
    <definedName name="OSRRefE20_6x" localSheetId="53">'308'!$J$63:$O$63</definedName>
    <definedName name="OSRRefE20_6x" localSheetId="64">'309'!$J$31:$O$31</definedName>
    <definedName name="OSRRefE20_6x" localSheetId="63">'310'!$J$55:$O$55</definedName>
    <definedName name="OSRRefE20_6x" localSheetId="71">'310 &amp; 491'!$J$57:$O$57</definedName>
    <definedName name="OSRRefE20_6x" localSheetId="54">'311'!$J$63:$O$63</definedName>
    <definedName name="OSRRefE20_6x" localSheetId="57">'315'!$J$71:$O$71</definedName>
    <definedName name="OSRRefE20_6x" localSheetId="60">'316'!$J$55:$O$55</definedName>
    <definedName name="OSRRefE20_6x" localSheetId="62">'317'!$J$63:$O$63</definedName>
    <definedName name="OSRRefE20_6x" localSheetId="66">'321'!$J$51:$O$51</definedName>
    <definedName name="OSRRefE20_6x" localSheetId="68">'325'!$J$53:$O$53</definedName>
    <definedName name="OSRRefE20_6x" localSheetId="58">'326'!$J$55:$O$55</definedName>
    <definedName name="OSRRefE20_6x" localSheetId="51">'330'!$J$60:$O$60</definedName>
    <definedName name="OSRRefE20_6x" localSheetId="56">'331'!$J$71:$O$71</definedName>
    <definedName name="OSRRefE20_6x" localSheetId="59">'332'!$J$55:$O$55</definedName>
    <definedName name="OSRRefE20_6x" localSheetId="73">'405'!$J$55:$O$55</definedName>
    <definedName name="OSRRefE20_6x" localSheetId="75">'411'!$J$48:$O$48</definedName>
    <definedName name="OSRRefE20_6x" localSheetId="79">'415'!$J$55:$O$55</definedName>
    <definedName name="OSRRefE20_6x" localSheetId="80">'418'!$J$52:$O$52</definedName>
    <definedName name="OSRRefE20_6x" localSheetId="86">'430'!$J$48:$O$48</definedName>
    <definedName name="OSRRefE20_6x" localSheetId="87">'433'!$J$55:$O$55</definedName>
    <definedName name="OSRRefE20_6x" localSheetId="88">'444'!$J$55:$O$55</definedName>
    <definedName name="OSRRefE20_6x" localSheetId="89">'450'!$J$55:$O$55</definedName>
    <definedName name="OSRRefE20_6x" localSheetId="72">'491'!$J$56:$O$56</definedName>
    <definedName name="OSRRefE20_6x" localSheetId="85">'492'!$J$55:$O$55</definedName>
    <definedName name="OSRRefE20_6x" localSheetId="91">'501'!$J$50:$O$50</definedName>
    <definedName name="OSRRefE20_6x" localSheetId="39">'Div 2'!$J$50:$O$50</definedName>
    <definedName name="OSRRefE20_6x" localSheetId="47">'Div 3'!$J$87:$O$87</definedName>
    <definedName name="OSRRefE20_6x" localSheetId="70">'Div 4'!$J$58:$O$58</definedName>
    <definedName name="OSRRefE20_6x" localSheetId="90">'Div 5'!$J$50:$O$50</definedName>
    <definedName name="OSRRefE20_6x" localSheetId="61">'Div 6'!$J$63:$O$63</definedName>
    <definedName name="OSRRefE20_6x" localSheetId="2">Summary!$J$95:$O$95</definedName>
    <definedName name="OSRRefE20_7x" localSheetId="41">'201'!$J$49:$O$49</definedName>
    <definedName name="OSRRefE20_7x" localSheetId="42">'202'!$J$49:$O$49</definedName>
    <definedName name="OSRRefE20_7x" localSheetId="43">'203'!$J$50:$O$50</definedName>
    <definedName name="OSRRefE20_7x" localSheetId="44">'204'!$J$53:$O$53</definedName>
    <definedName name="OSRRefE20_7x" localSheetId="45">'205'!$J$52:$O$52</definedName>
    <definedName name="OSRRefE20_7x" localSheetId="48">'300'!$J$86:$O$86</definedName>
    <definedName name="OSRRefE20_7x" localSheetId="49">'300 &amp; 317'!$J$92:$O$92</definedName>
    <definedName name="OSRRefE20_7x" localSheetId="50">'301'!$J$53:$O$53</definedName>
    <definedName name="OSRRefE20_7x" localSheetId="52">'307'!$J$62:$O$62</definedName>
    <definedName name="OSRRefE20_7x" localSheetId="53">'308'!$J$65:$O$65</definedName>
    <definedName name="OSRRefE20_7x" localSheetId="63">'310'!$J$57:$O$57</definedName>
    <definedName name="OSRRefE20_7x" localSheetId="71">'310 &amp; 491'!$J$59:$O$59</definedName>
    <definedName name="OSRRefE20_7x" localSheetId="54">'311'!$J$65:$O$65</definedName>
    <definedName name="OSRRefE20_7x" localSheetId="57">'315'!$J$73:$O$73</definedName>
    <definedName name="OSRRefE20_7x" localSheetId="60">'316'!$J$57:$O$57</definedName>
    <definedName name="OSRRefE20_7x" localSheetId="62">'317'!$J$65:$O$65</definedName>
    <definedName name="OSRRefE20_7x" localSheetId="66">'321'!$J$54:$O$54</definedName>
    <definedName name="OSRRefE20_7x" localSheetId="68">'325'!$J$55:$O$55</definedName>
    <definedName name="OSRRefE20_7x" localSheetId="58">'326'!$J$57:$O$57</definedName>
    <definedName name="OSRRefE20_7x" localSheetId="51">'330'!$J$62:$O$62</definedName>
    <definedName name="OSRRefE20_7x" localSheetId="56">'331'!$J$73:$O$73</definedName>
    <definedName name="OSRRefE20_7x" localSheetId="59">'332'!$J$57:$O$57</definedName>
    <definedName name="OSRRefE20_7x" localSheetId="73">'405'!$J$57:$O$57</definedName>
    <definedName name="OSRRefE20_7x" localSheetId="75">'411'!$J$50:$O$50</definedName>
    <definedName name="OSRRefE20_7x" localSheetId="79">'415'!$J$57:$O$57</definedName>
    <definedName name="OSRRefE20_7x" localSheetId="80">'418'!$J$54:$O$54</definedName>
    <definedName name="OSRRefE20_7x" localSheetId="86">'430'!$J$51:$O$51</definedName>
    <definedName name="OSRRefE20_7x" localSheetId="87">'433'!$J$57:$O$57</definedName>
    <definedName name="OSRRefE20_7x" localSheetId="88">'444'!$J$57:$O$57</definedName>
    <definedName name="OSRRefE20_7x" localSheetId="89">'450'!$J$57:$O$57</definedName>
    <definedName name="OSRRefE20_7x" localSheetId="72">'491'!$J$58:$O$58</definedName>
    <definedName name="OSRRefE20_7x" localSheetId="85">'492'!$J$57:$O$57</definedName>
    <definedName name="OSRRefE20_7x" localSheetId="91">'501'!$J$52:$O$52</definedName>
    <definedName name="OSRRefE20_7x" localSheetId="39">'Div 2'!$J$52:$O$52</definedName>
    <definedName name="OSRRefE20_7x" localSheetId="47">'Div 3'!$J$90:$O$90</definedName>
    <definedName name="OSRRefE20_7x" localSheetId="70">'Div 4'!$J$60:$O$60</definedName>
    <definedName name="OSRRefE20_7x" localSheetId="90">'Div 5'!$J$52:$O$52</definedName>
    <definedName name="OSRRefE20_7x" localSheetId="61">'Div 6'!$J$65:$O$65</definedName>
    <definedName name="OSRRefE20_7x" localSheetId="2">Summary!$J$98:$O$98</definedName>
    <definedName name="OSRRefE20_8x" localSheetId="41">'201'!$J$51:$O$51</definedName>
    <definedName name="OSRRefE20_8x" localSheetId="42">'202'!$J$53:$O$53</definedName>
    <definedName name="OSRRefE20_8x" localSheetId="43">'203'!$J$52:$O$52</definedName>
    <definedName name="OSRRefE20_8x" localSheetId="44">'204'!$J$56:$O$56</definedName>
    <definedName name="OSRRefE20_8x" localSheetId="48">'300'!$J$88:$O$88</definedName>
    <definedName name="OSRRefE20_8x" localSheetId="49">'300 &amp; 317'!$J$94:$O$94</definedName>
    <definedName name="OSRRefE20_8x" localSheetId="50">'301'!$J$55:$O$55</definedName>
    <definedName name="OSRRefE20_8x" localSheetId="52">'307'!$J$64:$O$64</definedName>
    <definedName name="OSRRefE20_8x" localSheetId="53">'308'!$J$67:$O$67</definedName>
    <definedName name="OSRRefE20_8x" localSheetId="63">'310'!$J$59:$O$59</definedName>
    <definedName name="OSRRefE20_8x" localSheetId="71">'310 &amp; 491'!$J$61:$O$61</definedName>
    <definedName name="OSRRefE20_8x" localSheetId="54">'311'!$J$67:$O$67</definedName>
    <definedName name="OSRRefE20_8x" localSheetId="57">'315'!$J$75:$O$75</definedName>
    <definedName name="OSRRefE20_8x" localSheetId="60">'316'!$J$60:$O$60</definedName>
    <definedName name="OSRRefE20_8x" localSheetId="62">'317'!$J$67:$O$67</definedName>
    <definedName name="OSRRefE20_8x" localSheetId="66">'321'!$J$56:$O$56</definedName>
    <definedName name="OSRRefE20_8x" localSheetId="68">'325'!$J$57:$O$57</definedName>
    <definedName name="OSRRefE20_8x" localSheetId="58">'326'!$J$59:$O$59</definedName>
    <definedName name="OSRRefE20_8x" localSheetId="51">'330'!$J$64:$O$64</definedName>
    <definedName name="OSRRefE20_8x" localSheetId="56">'331'!$J$75:$O$75</definedName>
    <definedName name="OSRRefE20_8x" localSheetId="59">'332'!$J$60:$O$60</definedName>
    <definedName name="OSRRefE20_8x" localSheetId="73">'405'!$J$59:$O$59</definedName>
    <definedName name="OSRRefE20_8x" localSheetId="75">'411'!$J$52:$O$52</definedName>
    <definedName name="OSRRefE20_8x" localSheetId="79">'415'!$J$59:$O$59</definedName>
    <definedName name="OSRRefE20_8x" localSheetId="80">'418'!$J$57:$O$57</definedName>
    <definedName name="OSRRefE20_8x" localSheetId="86">'430'!$J$53:$O$53</definedName>
    <definedName name="OSRRefE20_8x" localSheetId="87">'433'!$J$59:$O$59</definedName>
    <definedName name="OSRRefE20_8x" localSheetId="88">'444'!$J$59:$O$59</definedName>
    <definedName name="OSRRefE20_8x" localSheetId="89">'450'!$J$59:$O$59</definedName>
    <definedName name="OSRRefE20_8x" localSheetId="72">'491'!$J$60:$O$60</definedName>
    <definedName name="OSRRefE20_8x" localSheetId="85">'492'!$J$59:$O$59</definedName>
    <definedName name="OSRRefE20_8x" localSheetId="91">'501'!$J$54:$O$54</definedName>
    <definedName name="OSRRefE20_8x" localSheetId="39">'Div 2'!$J$54:$O$54</definedName>
    <definedName name="OSRRefE20_8x" localSheetId="47">'Div 3'!$J$92:$O$92</definedName>
    <definedName name="OSRRefE20_8x" localSheetId="70">'Div 4'!$J$62:$O$62</definedName>
    <definedName name="OSRRefE20_8x" localSheetId="90">'Div 5'!$J$54:$O$54</definedName>
    <definedName name="OSRRefE20_8x" localSheetId="61">'Div 6'!$J$67:$O$67</definedName>
    <definedName name="OSRRefE20_8x" localSheetId="2">Summary!$J$100:$O$100</definedName>
    <definedName name="OSRRefE20_9x" localSheetId="41">'201'!$J$53:$O$53</definedName>
    <definedName name="OSRRefE20_9x" localSheetId="42">'202'!$J$55:$O$55</definedName>
    <definedName name="OSRRefE20_9x" localSheetId="43">'203'!$J$56:$O$56</definedName>
    <definedName name="OSRRefE20_9x" localSheetId="44">'204'!$J$58:$O$58</definedName>
    <definedName name="OSRRefE20_9x" localSheetId="48">'300'!$J$90:$O$90</definedName>
    <definedName name="OSRRefE20_9x" localSheetId="49">'300 &amp; 317'!$J$96:$O$96</definedName>
    <definedName name="OSRRefE20_9x" localSheetId="50">'301'!$J$57:$O$57</definedName>
    <definedName name="OSRRefE20_9x" localSheetId="52">'307'!$J$66:$O$66</definedName>
    <definedName name="OSRRefE20_9x" localSheetId="53">'308'!$J$71:$O$71</definedName>
    <definedName name="OSRRefE20_9x" localSheetId="63">'310'!$J$61:$O$61</definedName>
    <definedName name="OSRRefE20_9x" localSheetId="71">'310 &amp; 491'!$J$64:$O$64</definedName>
    <definedName name="OSRRefE20_9x" localSheetId="54">'311'!$J$71:$O$71</definedName>
    <definedName name="OSRRefE20_9x" localSheetId="57">'315'!$J$78:$O$78</definedName>
    <definedName name="OSRRefE20_9x" localSheetId="60">'316'!$J$62:$O$62</definedName>
    <definedName name="OSRRefE20_9x" localSheetId="62">'317'!$J$70:$O$70</definedName>
    <definedName name="OSRRefE20_9x" localSheetId="66">'321'!$J$59:$O$59</definedName>
    <definedName name="OSRRefE20_9x" localSheetId="68">'325'!$J$59:$O$59</definedName>
    <definedName name="OSRRefE20_9x" localSheetId="58">'326'!$J$61:$O$61</definedName>
    <definedName name="OSRRefE20_9x" localSheetId="51">'330'!$J$66:$O$66</definedName>
    <definedName name="OSRRefE20_9x" localSheetId="56">'331'!$J$78:$O$78</definedName>
    <definedName name="OSRRefE20_9x" localSheetId="59">'332'!$J$62:$O$62</definedName>
    <definedName name="OSRRefE20_9x" localSheetId="73">'405'!$J$61:$O$61</definedName>
    <definedName name="OSRRefE20_9x" localSheetId="75">'411'!$J$57:$O$57</definedName>
    <definedName name="OSRRefE20_9x" localSheetId="79">'415'!$J$61:$O$61</definedName>
    <definedName name="OSRRefE20_9x" localSheetId="80">'418'!$J$60:$O$60</definedName>
    <definedName name="OSRRefE20_9x" localSheetId="87">'433'!$J$61:$O$61</definedName>
    <definedName name="OSRRefE20_9x" localSheetId="88">'444'!$J$61:$O$61</definedName>
    <definedName name="OSRRefE20_9x" localSheetId="89">'450'!$J$61:$O$61</definedName>
    <definedName name="OSRRefE20_9x" localSheetId="72">'491'!$J$63:$O$63</definedName>
    <definedName name="OSRRefE20_9x" localSheetId="85">'492'!$J$61:$O$61</definedName>
    <definedName name="OSRRefE20_9x" localSheetId="91">'501'!$J$56:$O$56</definedName>
    <definedName name="OSRRefE20_9x" localSheetId="39">'Div 2'!$J$56:$O$56</definedName>
    <definedName name="OSRRefE20_9x" localSheetId="47">'Div 3'!$J$94:$O$94</definedName>
    <definedName name="OSRRefE20_9x" localSheetId="70">'Div 4'!$J$64:$O$64</definedName>
    <definedName name="OSRRefE20_9x" localSheetId="90">'Div 5'!$J$56:$O$56</definedName>
    <definedName name="OSRRefE20_9x" localSheetId="61">'Div 6'!$J$70:$O$70</definedName>
    <definedName name="OSRRefE20_9x" localSheetId="2">Summary!$J$102:$O$102</definedName>
    <definedName name="OSRRefE20x_0" localSheetId="40">'200'!$J$18,'200'!$J$20,'200'!$J$22,'200'!$J$24</definedName>
    <definedName name="OSRRefE20x_0" localSheetId="41">'201'!$J$18,'201'!$J$28,'201'!$J$39,'201'!$J$41,'201'!$J$43,'201'!$J$45,'201'!$J$47,'201'!$J$49,'201'!$J$51,'201'!$J$53,'201'!$J$57,'201'!$J$60,'201'!$J$62,'201'!$J$65,'201'!$J$67</definedName>
    <definedName name="OSRRefE20x_0" localSheetId="42">'202'!$J$18,'202'!$J$28,'202'!$J$39,'202'!$J$41,'202'!$J$43,'202'!$J$45,'202'!$J$47,'202'!$J$49,'202'!$J$53,'202'!$J$55,'202'!$J$57,'202'!$J$59,'202'!$J$61</definedName>
    <definedName name="OSRRefE20x_0" localSheetId="43">'203'!$J$18,'203'!$J$29,'203'!$J$40,'203'!$J$42,'203'!$J$44,'203'!$J$46,'203'!$J$48,'203'!$J$50,'203'!$J$52,'203'!$J$56,'203'!$J$59,'203'!$J$61,'203'!$J$66,'203'!$J$68</definedName>
    <definedName name="OSRRefE20x_0" localSheetId="44">'204'!$J$18,'204'!$J$28,'204'!$J$39,'204'!$J$42,'204'!$J$44,'204'!$J$49,'204'!$J$51,'204'!$J$53,'204'!$J$56,'204'!$J$58</definedName>
    <definedName name="OSRRefE20x_0" localSheetId="45">'205'!$J$18,'205'!$J$28,'205'!$J$39,'205'!$J$41,'205'!$J$43,'205'!$J$47,'205'!$J$49,'205'!$J$52</definedName>
    <definedName name="OSRRefE20x_0" localSheetId="46">'206'!$J$18,'206'!$J$28,'206'!$J$39,'206'!$J$41,'206'!$J$44,'206'!$J$46</definedName>
    <definedName name="OSRRefE20x_0" localSheetId="48">'300'!$J$52,'300'!$J$63,'300'!$J$74,'300'!$J$76,'300'!$J$78,'300'!$J$80,'300'!$J$83,'300'!$J$86,'300'!$J$88,'300'!$J$90,'300'!$J$92,'300'!$J$95,'300'!$J$97,'300'!$J$99,'300'!$J$101,'300'!$J$103,'300'!$J$105,'300'!$J$110,'300'!$J$115,'300'!$J$119,'300'!$J$122,'300'!$J$130,'300'!$J$133,'300'!$J$135,'300'!$J$139</definedName>
    <definedName name="OSRRefE20x_0" localSheetId="49">'300 &amp; 317'!$J$58,'300 &amp; 317'!$J$69,'300 &amp; 317'!$J$80,'300 &amp; 317'!$J$82,'300 &amp; 317'!$J$84,'300 &amp; 317'!$J$86,'300 &amp; 317'!$J$89,'300 &amp; 317'!$J$92,'300 &amp; 317'!$J$94,'300 &amp; 317'!$J$96,'300 &amp; 317'!$J$98,'300 &amp; 317'!$J$101,'300 &amp; 317'!$J$103,'300 &amp; 317'!$J$105,'300 &amp; 317'!$J$107,'300 &amp; 317'!$J$109,'300 &amp; 317'!$J$111,'300 &amp; 317'!$J$116,'300 &amp; 317'!$J$121,'300 &amp; 317'!$J$125,'300 &amp; 317'!$J$128,'300 &amp; 317'!$J$136,'300 &amp; 317'!$J$139,'300 &amp; 317'!$J$141,'300 &amp; 317'!$J$145</definedName>
    <definedName name="OSRRefE20x_0" localSheetId="50">'301'!$J$19,'301'!$J$30,'301'!$J$41,'301'!$J$43,'301'!$J$45,'301'!$J$47,'301'!$J$50,'301'!$J$53,'301'!$J$55,'301'!$J$57,'301'!$J$59,'301'!$J$61,'301'!$J$63,'301'!$J$65,'301'!$J$67,'301'!$J$69,'301'!$J$74,'301'!$J$77,'301'!$J$79,'301'!$J$86,'301'!$J$88,'301'!$J$90,'301'!$J$93</definedName>
    <definedName name="OSRRefE20x_0" localSheetId="52">'307'!$J$32,'307'!$J$41,'307'!$J$52,'307'!$J$54,'307'!$J$56,'307'!$J$58,'307'!$J$60,'307'!$J$62,'307'!$J$64,'307'!$J$66,'307'!$J$69,'307'!$J$72,'307'!$J$77</definedName>
    <definedName name="OSRRefE20x_0" localSheetId="53">'308'!$J$33,'308'!$J$44,'308'!$J$55,'308'!$J$57,'308'!$J$59,'308'!$J$61,'308'!$J$63,'308'!$J$65,'308'!$J$67,'308'!$J$71,'308'!$J$74,'308'!$J$77,'308'!$J$80</definedName>
    <definedName name="OSRRefE20x_0" localSheetId="64">'309'!$J$18,'309'!$J$20,'309'!$J$22,'309'!$J$24,'309'!$J$26,'309'!$J$29,'309'!$J$31</definedName>
    <definedName name="OSRRefE20x_0" localSheetId="63">'310'!$J$25,'310'!$J$35,'310'!$J$46,'310'!$J$48,'310'!$J$50,'310'!$J$52,'310'!$J$55,'310'!$J$57,'310'!$J$59,'310'!$J$61,'310'!$J$63,'310'!$J$65,'310'!$J$68,'310'!$J$70,'310'!$J$74,'310'!$J$80,'310'!$J$83,'310'!$J$85</definedName>
    <definedName name="OSRRefE20x_0" localSheetId="71">'310 &amp; 491'!$J$27,'310 &amp; 491'!$J$37,'310 &amp; 491'!$J$48,'310 &amp; 491'!$J$50,'310 &amp; 491'!$J$52,'310 &amp; 491'!$J$54,'310 &amp; 491'!$J$57,'310 &amp; 491'!$J$59,'310 &amp; 491'!$J$61,'310 &amp; 491'!$J$64,'310 &amp; 491'!$J$66,'310 &amp; 491'!$J$68,'310 &amp; 491'!$J$70,'310 &amp; 491'!$J$75,'310 &amp; 491'!$J$78,'310 &amp; 491'!$J$84,'310 &amp; 491'!$J$86,'310 &amp; 491'!$J$97,'310 &amp; 491'!$J$100,'310 &amp; 491'!$J$102,'310 &amp; 491'!$J$104</definedName>
    <definedName name="OSRRefE20x_0" localSheetId="54">'311'!$J$33,'311'!$J$44,'311'!$J$55,'311'!$J$57,'311'!$J$59,'311'!$J$61,'311'!$J$63,'311'!$J$65,'311'!$J$67,'311'!$J$71,'311'!$J$74,'311'!$J$77,'311'!$J$80</definedName>
    <definedName name="OSRRefE20x_0" localSheetId="65">'313'!$J$18,'313'!$J$20,'313'!$J$22</definedName>
    <definedName name="OSRRefE20x_0" localSheetId="57">'315'!$J$42,'315'!$J$52,'315'!$J$63,'315'!$J$65,'315'!$J$67,'315'!$J$69,'315'!$J$71,'315'!$J$73,'315'!$J$75,'315'!$J$78,'315'!$J$80,'315'!$J$82,'315'!$J$84,'315'!$J$87,'315'!$J$91,'315'!$J$94,'315'!$J$99,'315'!$J$101</definedName>
    <definedName name="OSRRefE20x_0" localSheetId="60">'316'!$J$25,'316'!$J$35,'316'!$J$46,'316'!$J$48,'316'!$J$50,'316'!$J$52,'316'!$J$55,'316'!$J$57,'316'!$J$60,'316'!$J$62,'316'!$J$67</definedName>
    <definedName name="OSRRefE20x_0" localSheetId="62">'317'!$J$33,'317'!$J$44,'317'!$J$55,'317'!$J$57,'317'!$J$59,'317'!$J$61,'317'!$J$63,'317'!$J$65,'317'!$J$67,'317'!$J$70</definedName>
    <definedName name="OSRRefE20x_0" localSheetId="66">'321'!$J$22,'321'!$J$32,'321'!$J$43,'321'!$J$45,'321'!$J$47,'321'!$J$49,'321'!$J$51,'321'!$J$54,'321'!$J$56,'321'!$J$59,'321'!$J$64,'321'!$J$66</definedName>
    <definedName name="OSRRefE20x_0" localSheetId="67">'322'!$J$18</definedName>
    <definedName name="OSRRefE20x_0" localSheetId="68">'325'!$J$23,'325'!$J$33,'325'!$J$44,'325'!$J$46,'325'!$J$48,'325'!$J$50,'325'!$J$53,'325'!$J$55,'325'!$J$57,'325'!$J$59,'325'!$J$61,'325'!$J$63,'325'!$J$66,'325'!$J$70,'325'!$J$76,'325'!$J$79</definedName>
    <definedName name="OSRRefE20x_0" localSheetId="58">'326'!$J$26,'326'!$J$36,'326'!$J$47,'326'!$J$49,'326'!$J$51,'326'!$J$53,'326'!$J$55,'326'!$J$57,'326'!$J$59,'326'!$J$61,'326'!$J$63,'326'!$J$65,'326'!$J$68,'326'!$J$71,'326'!$J$74,'326'!$J$78,'326'!$J$80,'326'!$J$83</definedName>
    <definedName name="OSRRefE20x_0" localSheetId="69">'327'!$J$24</definedName>
    <definedName name="OSRRefE20x_0" localSheetId="51">'330'!$J$32,'330'!$J$41,'330'!$J$52,'330'!$J$54,'330'!$J$56,'330'!$J$58,'330'!$J$60,'330'!$J$62,'330'!$J$64,'330'!$J$66,'330'!$J$69,'330'!$J$72,'330'!$J$77</definedName>
    <definedName name="OSRRefE20x_0" localSheetId="56">'331'!$J$42,'331'!$J$52,'331'!$J$63,'331'!$J$65,'331'!$J$67,'331'!$J$69,'331'!$J$71,'331'!$J$73,'331'!$J$75,'331'!$J$78,'331'!$J$80,'331'!$J$82,'331'!$J$84,'331'!$J$86,'331'!$J$88,'331'!$J$91,'331'!$J$95,'331'!$J$98,'331'!$J$101,'331'!$J$107,'331'!$J$109,'331'!$J$112</definedName>
    <definedName name="OSRRefE20x_0" localSheetId="59">'332'!$J$25,'332'!$J$35,'332'!$J$46,'332'!$J$48,'332'!$J$50,'332'!$J$52,'332'!$J$55,'332'!$J$57,'332'!$J$60,'332'!$J$62,'332'!$J$67</definedName>
    <definedName name="OSRRefE20x_0" localSheetId="73">'405'!$J$25,'405'!$J$35,'405'!$J$46,'405'!$J$48,'405'!$J$50,'405'!$J$52,'405'!$J$55,'405'!$J$57,'405'!$J$59,'405'!$J$61,'405'!$J$64,'405'!$J$68,'405'!$J$70,'405'!$J$79,'405'!$J$81,'405'!$J$83,'405'!$J$85</definedName>
    <definedName name="OSRRefE20x_0" localSheetId="74">'406'!$J$18</definedName>
    <definedName name="OSRRefE20x_0" localSheetId="75">'411'!$J$18,'411'!$J$28,'411'!$J$39,'411'!$J$41,'411'!$J$44,'411'!$J$46,'411'!$J$48,'411'!$J$50,'411'!$J$52,'411'!$J$57,'411'!$J$60,'411'!$J$62,'411'!$J$64,'411'!$J$66,'411'!$J$68</definedName>
    <definedName name="OSRRefE20x_0" localSheetId="76">'412'!$J$18,'412'!$J$20,'412'!$J$22</definedName>
    <definedName name="OSRRefE20x_0" localSheetId="77">'413'!$J$18,'413'!$J$20</definedName>
    <definedName name="OSRRefE20x_0" localSheetId="78">'414'!$J$18,'414'!$J$20</definedName>
    <definedName name="OSRRefE20x_0" localSheetId="79">'415'!$J$25,'415'!$J$35,'415'!$J$46,'415'!$J$48,'415'!$J$50,'415'!$J$52,'415'!$J$55,'415'!$J$57,'415'!$J$59,'415'!$J$61,'415'!$J$63,'415'!$J$65,'415'!$J$68,'415'!$J$73,'415'!$J$75,'415'!$J$81,'415'!$J$84,'415'!$J$86</definedName>
    <definedName name="OSRRefE20x_0" localSheetId="80">'418'!$J$22,'418'!$J$32,'418'!$J$43,'418'!$J$45,'418'!$J$47,'418'!$J$50,'418'!$J$52,'418'!$J$54,'418'!$J$57,'418'!$J$60,'418'!$J$64,'418'!$J$66,'418'!$J$74,'418'!$J$77,'418'!$J$79,'418'!$J$81</definedName>
    <definedName name="OSRRefE20x_0" localSheetId="81">'423'!$J$18,'423'!$J$27,'423'!$J$38,'423'!$J$40,'423'!$J$42</definedName>
    <definedName name="OSRRefE20x_0" localSheetId="82">'424'!$J$18,'424'!$J$20</definedName>
    <definedName name="OSRRefE20x_0" localSheetId="84">'425'!$J$20,'425'!$J$22,'425'!$J$24,'425'!$J$26,'425'!$J$28</definedName>
    <definedName name="OSRRefE20x_0" localSheetId="86">'430'!$J$18,'430'!$J$28,'430'!$J$39,'430'!$J$41,'430'!$J$43,'430'!$J$45,'430'!$J$48,'430'!$J$51,'430'!$J$53</definedName>
    <definedName name="OSRRefE20x_0" localSheetId="87">'433'!$J$25,'433'!$J$36,'433'!$J$47,'433'!$J$49,'433'!$J$51,'433'!$J$53,'433'!$J$55,'433'!$J$57,'433'!$J$59,'433'!$J$61,'433'!$J$63,'433'!$J$65,'433'!$J$69,'433'!$J$74,'433'!$J$83,'433'!$J$85</definedName>
    <definedName name="OSRRefE20x_0" localSheetId="88">'444'!$J$25,'444'!$J$36,'444'!$J$47,'444'!$J$49,'444'!$J$51,'444'!$J$53,'444'!$J$55,'444'!$J$57,'444'!$J$59,'444'!$J$61,'444'!$J$63,'444'!$J$65,'444'!$J$68,'444'!$J$73,'444'!$J$82,'444'!$J$84</definedName>
    <definedName name="OSRRefE20x_0" localSheetId="89">'450'!$J$25,'450'!$J$36,'450'!$J$47,'450'!$J$49,'450'!$J$51,'450'!$J$53,'450'!$J$55,'450'!$J$57,'450'!$J$59,'450'!$J$61,'450'!$J$63,'450'!$J$65,'450'!$J$68,'450'!$J$73,'450'!$J$81,'450'!$J$83,'450'!$J$85</definedName>
    <definedName name="OSRRefE20x_0" localSheetId="72">'491'!$J$26,'491'!$J$36,'491'!$J$47,'491'!$J$49,'491'!$J$51,'491'!$J$53,'491'!$J$56,'491'!$J$58,'491'!$J$60,'491'!$J$63,'491'!$J$65,'491'!$J$67,'491'!$J$69,'491'!$J$74,'491'!$J$76,'491'!$J$82,'491'!$J$84,'491'!$J$94,'491'!$J$97,'491'!$J$99,'491'!$J$101</definedName>
    <definedName name="OSRRefE20x_0" localSheetId="85">'492'!$J$25,'492'!$J$36,'492'!$J$47,'492'!$J$49,'492'!$J$51,'492'!$J$53,'492'!$J$55,'492'!$J$57,'492'!$J$59,'492'!$J$61,'492'!$J$63,'492'!$J$65,'492'!$J$67,'492'!$J$71,'492'!$J$76,'492'!$J$85,'492'!$J$88,'492'!$J$90</definedName>
    <definedName name="OSRRefE20x_0" localSheetId="91">'501'!$J$19,'501'!$J$30,'501'!$J$41,'501'!$J$43,'501'!$J$45,'501'!$J$47,'501'!$J$50,'501'!$J$52,'501'!$J$54,'501'!$J$56,'501'!$J$59,'501'!$J$61,'501'!$J$65,'501'!$J$67</definedName>
    <definedName name="OSRRefE20x_0" localSheetId="39">'Div 2'!$J$18,'Div 2'!$J$30,'Div 2'!$J$41,'Div 2'!$J$43,'Div 2'!$J$45,'Div 2'!$J$47,'Div 2'!$J$50,'Div 2'!$J$52,'Div 2'!$J$54,'Div 2'!$J$56,'Div 2'!$J$58,'Div 2'!$J$60,'Div 2'!$J$62,'Div 2'!$J$67,'Div 2'!$J$72,'Div 2'!$J$75,'Div 2'!$J$77,'Div 2'!$J$83,'Div 2'!$J$86,'Div 2'!$J$88</definedName>
    <definedName name="OSRRefE20x_0" localSheetId="47">'Div 3'!$J$56,'Div 3'!$J$67,'Div 3'!$J$78,'Div 3'!$J$80,'Div 3'!$J$82,'Div 3'!$J$84,'Div 3'!$J$87,'Div 3'!$J$90,'Div 3'!$J$92,'Div 3'!$J$94,'Div 3'!$J$96,'Div 3'!$J$99,'Div 3'!$J$101,'Div 3'!$J$103,'Div 3'!$J$105,'Div 3'!$J$107,'Div 3'!$J$109,'Div 3'!$J$111,'Div 3'!$J$116,'Div 3'!$J$121,'Div 3'!$J$126,'Div 3'!$J$129,'Div 3'!$J$137,'Div 3'!$J$140,'Div 3'!$J$142,'Div 3'!$J$146</definedName>
    <definedName name="OSRRefE20x_0" localSheetId="70">'Div 4'!$J$27,'Div 4'!$J$38,'Div 4'!$J$49,'Div 4'!$J$51,'Div 4'!$J$53,'Div 4'!$J$55,'Div 4'!$J$58,'Div 4'!$J$60,'Div 4'!$J$62,'Div 4'!$J$64,'Div 4'!$J$67,'Div 4'!$J$69,'Div 4'!$J$71,'Div 4'!$J$73,'Div 4'!$J$75,'Div 4'!$J$80,'Div 4'!$J$82,'Div 4'!$J$88,'Div 4'!$J$90,'Div 4'!$J$101,'Div 4'!$J$104,'Div 4'!$J$106,'Div 4'!$J$109</definedName>
    <definedName name="OSRRefE20x_0" localSheetId="90">'Div 5'!$J$19,'Div 5'!$J$30,'Div 5'!$J$41,'Div 5'!$J$43,'Div 5'!$J$45,'Div 5'!$J$47,'Div 5'!$J$50,'Div 5'!$J$52,'Div 5'!$J$54,'Div 5'!$J$56,'Div 5'!$J$59,'Div 5'!$J$61,'Div 5'!$J$65,'Div 5'!$J$67</definedName>
    <definedName name="OSRRefE20x_0" localSheetId="61">'Div 6'!$J$33,'Div 6'!$J$44,'Div 6'!$J$55,'Div 6'!$J$57,'Div 6'!$J$59,'Div 6'!$J$61,'Div 6'!$J$63,'Div 6'!$J$65,'Div 6'!$J$67,'Div 6'!$J$70</definedName>
    <definedName name="OSRRefE20x_0" localSheetId="2">Summary!$J$64,Summary!$J$75,Summary!$J$86,Summary!$J$88,Summary!$J$90,Summary!$J$92,Summary!$J$95,Summary!$J$98,Summary!$J$100,Summary!$J$102,Summary!$J$104,Summary!$J$107,Summary!$J$110,Summary!$J$112,Summary!$J$114,Summary!$J$116,Summary!$J$118,Summary!$J$120,Summary!$J$122,Summary!$J$127,Summary!$J$132,Summary!$J$138,Summary!$J$141,Summary!$J$152,Summary!$J$155,Summary!$J$157,Summary!$J$161</definedName>
    <definedName name="OSRRefE20x_1" localSheetId="40">'200'!$K$18,'200'!$K$20,'200'!$K$22,'200'!$K$24</definedName>
    <definedName name="OSRRefE20x_1" localSheetId="41">'201'!$K$18,'201'!$K$28,'201'!$K$39,'201'!$K$41,'201'!$K$43,'201'!$K$45,'201'!$K$47,'201'!$K$49,'201'!$K$51,'201'!$K$53,'201'!$K$57,'201'!$K$60,'201'!$K$62,'201'!$K$65,'201'!$K$67</definedName>
    <definedName name="OSRRefE20x_1" localSheetId="42">'202'!$K$18,'202'!$K$28,'202'!$K$39,'202'!$K$41,'202'!$K$43,'202'!$K$45,'202'!$K$47,'202'!$K$49,'202'!$K$53,'202'!$K$55,'202'!$K$57,'202'!$K$59,'202'!$K$61</definedName>
    <definedName name="OSRRefE20x_1" localSheetId="43">'203'!$K$18,'203'!$K$29,'203'!$K$40,'203'!$K$42,'203'!$K$44,'203'!$K$46,'203'!$K$48,'203'!$K$50,'203'!$K$52,'203'!$K$56,'203'!$K$59,'203'!$K$61,'203'!$K$66,'203'!$K$68</definedName>
    <definedName name="OSRRefE20x_1" localSheetId="44">'204'!$K$18,'204'!$K$28,'204'!$K$39,'204'!$K$42,'204'!$K$44,'204'!$K$49,'204'!$K$51,'204'!$K$53,'204'!$K$56,'204'!$K$58</definedName>
    <definedName name="OSRRefE20x_1" localSheetId="45">'205'!$K$18,'205'!$K$28,'205'!$K$39,'205'!$K$41,'205'!$K$43,'205'!$K$47,'205'!$K$49,'205'!$K$52</definedName>
    <definedName name="OSRRefE20x_1" localSheetId="46">'206'!$K$18,'206'!$K$28,'206'!$K$39,'206'!$K$41,'206'!$K$44,'206'!$K$46</definedName>
    <definedName name="OSRRefE20x_1" localSheetId="48">'300'!$K$52,'300'!$K$63,'300'!$K$74,'300'!$K$76,'300'!$K$78,'300'!$K$80,'300'!$K$83,'300'!$K$86,'300'!$K$88,'300'!$K$90,'300'!$K$92,'300'!$K$95,'300'!$K$97,'300'!$K$99,'300'!$K$101,'300'!$K$103,'300'!$K$105,'300'!$K$110,'300'!$K$115,'300'!$K$119,'300'!$K$122,'300'!$K$130,'300'!$K$133,'300'!$K$135,'300'!$K$139</definedName>
    <definedName name="OSRRefE20x_1" localSheetId="49">'300 &amp; 317'!$K$58,'300 &amp; 317'!$K$69,'300 &amp; 317'!$K$80,'300 &amp; 317'!$K$82,'300 &amp; 317'!$K$84,'300 &amp; 317'!$K$86,'300 &amp; 317'!$K$89,'300 &amp; 317'!$K$92,'300 &amp; 317'!$K$94,'300 &amp; 317'!$K$96,'300 &amp; 317'!$K$98,'300 &amp; 317'!$K$101,'300 &amp; 317'!$K$103,'300 &amp; 317'!$K$105,'300 &amp; 317'!$K$107,'300 &amp; 317'!$K$109,'300 &amp; 317'!$K$111,'300 &amp; 317'!$K$116,'300 &amp; 317'!$K$121,'300 &amp; 317'!$K$125,'300 &amp; 317'!$K$128,'300 &amp; 317'!$K$136,'300 &amp; 317'!$K$139,'300 &amp; 317'!$K$141,'300 &amp; 317'!$K$145</definedName>
    <definedName name="OSRRefE20x_1" localSheetId="50">'301'!$K$19,'301'!$K$30,'301'!$K$41,'301'!$K$43,'301'!$K$45,'301'!$K$47,'301'!$K$50,'301'!$K$53,'301'!$K$55,'301'!$K$57,'301'!$K$59,'301'!$K$61,'301'!$K$63,'301'!$K$65,'301'!$K$67,'301'!$K$69,'301'!$K$74,'301'!$K$77,'301'!$K$79,'301'!$K$86,'301'!$K$88,'301'!$K$90,'301'!$K$93</definedName>
    <definedName name="OSRRefE20x_1" localSheetId="52">'307'!$K$32,'307'!$K$41,'307'!$K$52,'307'!$K$54,'307'!$K$56,'307'!$K$58,'307'!$K$60,'307'!$K$62,'307'!$K$64,'307'!$K$66,'307'!$K$69,'307'!$K$72,'307'!$K$77</definedName>
    <definedName name="OSRRefE20x_1" localSheetId="53">'308'!$K$33,'308'!$K$44,'308'!$K$55,'308'!$K$57,'308'!$K$59,'308'!$K$61,'308'!$K$63,'308'!$K$65,'308'!$K$67,'308'!$K$71,'308'!$K$74,'308'!$K$77,'308'!$K$80</definedName>
    <definedName name="OSRRefE20x_1" localSheetId="64">'309'!$K$18,'309'!$K$20,'309'!$K$22,'309'!$K$24,'309'!$K$26,'309'!$K$29,'309'!$K$31</definedName>
    <definedName name="OSRRefE20x_1" localSheetId="63">'310'!$K$25,'310'!$K$35,'310'!$K$46,'310'!$K$48,'310'!$K$50,'310'!$K$52,'310'!$K$55,'310'!$K$57,'310'!$K$59,'310'!$K$61,'310'!$K$63,'310'!$K$65,'310'!$K$68,'310'!$K$70,'310'!$K$74,'310'!$K$80,'310'!$K$83,'310'!$K$85</definedName>
    <definedName name="OSRRefE20x_1" localSheetId="71">'310 &amp; 491'!$K$27,'310 &amp; 491'!$K$37,'310 &amp; 491'!$K$48,'310 &amp; 491'!$K$50,'310 &amp; 491'!$K$52,'310 &amp; 491'!$K$54,'310 &amp; 491'!$K$57,'310 &amp; 491'!$K$59,'310 &amp; 491'!$K$61,'310 &amp; 491'!$K$64,'310 &amp; 491'!$K$66,'310 &amp; 491'!$K$68,'310 &amp; 491'!$K$70,'310 &amp; 491'!$K$75,'310 &amp; 491'!$K$78,'310 &amp; 491'!$K$84,'310 &amp; 491'!$K$86,'310 &amp; 491'!$K$97,'310 &amp; 491'!$K$100,'310 &amp; 491'!$K$102,'310 &amp; 491'!$K$104</definedName>
    <definedName name="OSRRefE20x_1" localSheetId="54">'311'!$K$33,'311'!$K$44,'311'!$K$55,'311'!$K$57,'311'!$K$59,'311'!$K$61,'311'!$K$63,'311'!$K$65,'311'!$K$67,'311'!$K$71,'311'!$K$74,'311'!$K$77,'311'!$K$80</definedName>
    <definedName name="OSRRefE20x_1" localSheetId="65">'313'!$K$18,'313'!$K$20,'313'!$K$22</definedName>
    <definedName name="OSRRefE20x_1" localSheetId="57">'315'!$K$42,'315'!$K$52,'315'!$K$63,'315'!$K$65,'315'!$K$67,'315'!$K$69,'315'!$K$71,'315'!$K$73,'315'!$K$75,'315'!$K$78,'315'!$K$80,'315'!$K$82,'315'!$K$84,'315'!$K$87,'315'!$K$91,'315'!$K$94,'315'!$K$99,'315'!$K$101</definedName>
    <definedName name="OSRRefE20x_1" localSheetId="60">'316'!$K$25,'316'!$K$35,'316'!$K$46,'316'!$K$48,'316'!$K$50,'316'!$K$52,'316'!$K$55,'316'!$K$57,'316'!$K$60,'316'!$K$62,'316'!$K$67</definedName>
    <definedName name="OSRRefE20x_1" localSheetId="62">'317'!$K$33,'317'!$K$44,'317'!$K$55,'317'!$K$57,'317'!$K$59,'317'!$K$61,'317'!$K$63,'317'!$K$65,'317'!$K$67,'317'!$K$70</definedName>
    <definedName name="OSRRefE20x_1" localSheetId="66">'321'!$K$22,'321'!$K$32,'321'!$K$43,'321'!$K$45,'321'!$K$47,'321'!$K$49,'321'!$K$51,'321'!$K$54,'321'!$K$56,'321'!$K$59,'321'!$K$64,'321'!$K$66</definedName>
    <definedName name="OSRRefE20x_1" localSheetId="67">'322'!$K$18</definedName>
    <definedName name="OSRRefE20x_1" localSheetId="68">'325'!$K$23,'325'!$K$33,'325'!$K$44,'325'!$K$46,'325'!$K$48,'325'!$K$50,'325'!$K$53,'325'!$K$55,'325'!$K$57,'325'!$K$59,'325'!$K$61,'325'!$K$63,'325'!$K$66,'325'!$K$70,'325'!$K$76,'325'!$K$79</definedName>
    <definedName name="OSRRefE20x_1" localSheetId="58">'326'!$K$26,'326'!$K$36,'326'!$K$47,'326'!$K$49,'326'!$K$51,'326'!$K$53,'326'!$K$55,'326'!$K$57,'326'!$K$59,'326'!$K$61,'326'!$K$63,'326'!$K$65,'326'!$K$68,'326'!$K$71,'326'!$K$74,'326'!$K$78,'326'!$K$80,'326'!$K$83</definedName>
    <definedName name="OSRRefE20x_1" localSheetId="69">'327'!$K$24</definedName>
    <definedName name="OSRRefE20x_1" localSheetId="51">'330'!$K$32,'330'!$K$41,'330'!$K$52,'330'!$K$54,'330'!$K$56,'330'!$K$58,'330'!$K$60,'330'!$K$62,'330'!$K$64,'330'!$K$66,'330'!$K$69,'330'!$K$72,'330'!$K$77</definedName>
    <definedName name="OSRRefE20x_1" localSheetId="56">'331'!$K$42,'331'!$K$52,'331'!$K$63,'331'!$K$65,'331'!$K$67,'331'!$K$69,'331'!$K$71,'331'!$K$73,'331'!$K$75,'331'!$K$78,'331'!$K$80,'331'!$K$82,'331'!$K$84,'331'!$K$86,'331'!$K$88,'331'!$K$91,'331'!$K$95,'331'!$K$98,'331'!$K$101,'331'!$K$107,'331'!$K$109,'331'!$K$112</definedName>
    <definedName name="OSRRefE20x_1" localSheetId="59">'332'!$K$25,'332'!$K$35,'332'!$K$46,'332'!$K$48,'332'!$K$50,'332'!$K$52,'332'!$K$55,'332'!$K$57,'332'!$K$60,'332'!$K$62,'332'!$K$67</definedName>
    <definedName name="OSRRefE20x_1" localSheetId="73">'405'!$K$25,'405'!$K$35,'405'!$K$46,'405'!$K$48,'405'!$K$50,'405'!$K$52,'405'!$K$55,'405'!$K$57,'405'!$K$59,'405'!$K$61,'405'!$K$64,'405'!$K$68,'405'!$K$70,'405'!$K$79,'405'!$K$81,'405'!$K$83,'405'!$K$85</definedName>
    <definedName name="OSRRefE20x_1" localSheetId="74">'406'!$K$18</definedName>
    <definedName name="OSRRefE20x_1" localSheetId="75">'411'!$K$18,'411'!$K$28,'411'!$K$39,'411'!$K$41,'411'!$K$44,'411'!$K$46,'411'!$K$48,'411'!$K$50,'411'!$K$52,'411'!$K$57,'411'!$K$60,'411'!$K$62,'411'!$K$64,'411'!$K$66,'411'!$K$68</definedName>
    <definedName name="OSRRefE20x_1" localSheetId="76">'412'!$K$18,'412'!$K$20,'412'!$K$22</definedName>
    <definedName name="OSRRefE20x_1" localSheetId="77">'413'!$K$18,'413'!$K$20</definedName>
    <definedName name="OSRRefE20x_1" localSheetId="78">'414'!$K$18,'414'!$K$20</definedName>
    <definedName name="OSRRefE20x_1" localSheetId="79">'415'!$K$25,'415'!$K$35,'415'!$K$46,'415'!$K$48,'415'!$K$50,'415'!$K$52,'415'!$K$55,'415'!$K$57,'415'!$K$59,'415'!$K$61,'415'!$K$63,'415'!$K$65,'415'!$K$68,'415'!$K$73,'415'!$K$75,'415'!$K$81,'415'!$K$84,'415'!$K$86</definedName>
    <definedName name="OSRRefE20x_1" localSheetId="80">'418'!$K$22,'418'!$K$32,'418'!$K$43,'418'!$K$45,'418'!$K$47,'418'!$K$50,'418'!$K$52,'418'!$K$54,'418'!$K$57,'418'!$K$60,'418'!$K$64,'418'!$K$66,'418'!$K$74,'418'!$K$77,'418'!$K$79,'418'!$K$81</definedName>
    <definedName name="OSRRefE20x_1" localSheetId="81">'423'!$K$18,'423'!$K$27,'423'!$K$38,'423'!$K$40,'423'!$K$42</definedName>
    <definedName name="OSRRefE20x_1" localSheetId="82">'424'!$K$18,'424'!$K$20</definedName>
    <definedName name="OSRRefE20x_1" localSheetId="84">'425'!$K$20,'425'!$K$22,'425'!$K$24,'425'!$K$26,'425'!$K$28</definedName>
    <definedName name="OSRRefE20x_1" localSheetId="86">'430'!$K$18,'430'!$K$28,'430'!$K$39,'430'!$K$41,'430'!$K$43,'430'!$K$45,'430'!$K$48,'430'!$K$51,'430'!$K$53</definedName>
    <definedName name="OSRRefE20x_1" localSheetId="87">'433'!$K$25,'433'!$K$36,'433'!$K$47,'433'!$K$49,'433'!$K$51,'433'!$K$53,'433'!$K$55,'433'!$K$57,'433'!$K$59,'433'!$K$61,'433'!$K$63,'433'!$K$65,'433'!$K$69,'433'!$K$74,'433'!$K$83,'433'!$K$85</definedName>
    <definedName name="OSRRefE20x_1" localSheetId="88">'444'!$K$25,'444'!$K$36,'444'!$K$47,'444'!$K$49,'444'!$K$51,'444'!$K$53,'444'!$K$55,'444'!$K$57,'444'!$K$59,'444'!$K$61,'444'!$K$63,'444'!$K$65,'444'!$K$68,'444'!$K$73,'444'!$K$82,'444'!$K$84</definedName>
    <definedName name="OSRRefE20x_1" localSheetId="89">'450'!$K$25,'450'!$K$36,'450'!$K$47,'450'!$K$49,'450'!$K$51,'450'!$K$53,'450'!$K$55,'450'!$K$57,'450'!$K$59,'450'!$K$61,'450'!$K$63,'450'!$K$65,'450'!$K$68,'450'!$K$73,'450'!$K$81,'450'!$K$83,'450'!$K$85</definedName>
    <definedName name="OSRRefE20x_1" localSheetId="72">'491'!$K$26,'491'!$K$36,'491'!$K$47,'491'!$K$49,'491'!$K$51,'491'!$K$53,'491'!$K$56,'491'!$K$58,'491'!$K$60,'491'!$K$63,'491'!$K$65,'491'!$K$67,'491'!$K$69,'491'!$K$74,'491'!$K$76,'491'!$K$82,'491'!$K$84,'491'!$K$94,'491'!$K$97,'491'!$K$99,'491'!$K$101</definedName>
    <definedName name="OSRRefE20x_1" localSheetId="85">'492'!$K$25,'492'!$K$36,'492'!$K$47,'492'!$K$49,'492'!$K$51,'492'!$K$53,'492'!$K$55,'492'!$K$57,'492'!$K$59,'492'!$K$61,'492'!$K$63,'492'!$K$65,'492'!$K$67,'492'!$K$71,'492'!$K$76,'492'!$K$85,'492'!$K$88,'492'!$K$90</definedName>
    <definedName name="OSRRefE20x_1" localSheetId="91">'501'!$K$19,'501'!$K$30,'501'!$K$41,'501'!$K$43,'501'!$K$45,'501'!$K$47,'501'!$K$50,'501'!$K$52,'501'!$K$54,'501'!$K$56,'501'!$K$59,'501'!$K$61,'501'!$K$65,'501'!$K$67</definedName>
    <definedName name="OSRRefE20x_1" localSheetId="39">'Div 2'!$K$18,'Div 2'!$K$30,'Div 2'!$K$41,'Div 2'!$K$43,'Div 2'!$K$45,'Div 2'!$K$47,'Div 2'!$K$50,'Div 2'!$K$52,'Div 2'!$K$54,'Div 2'!$K$56,'Div 2'!$K$58,'Div 2'!$K$60,'Div 2'!$K$62,'Div 2'!$K$67,'Div 2'!$K$72,'Div 2'!$K$75,'Div 2'!$K$77,'Div 2'!$K$83,'Div 2'!$K$86,'Div 2'!$K$88</definedName>
    <definedName name="OSRRefE20x_1" localSheetId="47">'Div 3'!$K$56,'Div 3'!$K$67,'Div 3'!$K$78,'Div 3'!$K$80,'Div 3'!$K$82,'Div 3'!$K$84,'Div 3'!$K$87,'Div 3'!$K$90,'Div 3'!$K$92,'Div 3'!$K$94,'Div 3'!$K$96,'Div 3'!$K$99,'Div 3'!$K$101,'Div 3'!$K$103,'Div 3'!$K$105,'Div 3'!$K$107,'Div 3'!$K$109,'Div 3'!$K$111,'Div 3'!$K$116,'Div 3'!$K$121,'Div 3'!$K$126,'Div 3'!$K$129,'Div 3'!$K$137,'Div 3'!$K$140,'Div 3'!$K$142,'Div 3'!$K$146</definedName>
    <definedName name="OSRRefE20x_1" localSheetId="70">'Div 4'!$K$27,'Div 4'!$K$38,'Div 4'!$K$49,'Div 4'!$K$51,'Div 4'!$K$53,'Div 4'!$K$55,'Div 4'!$K$58,'Div 4'!$K$60,'Div 4'!$K$62,'Div 4'!$K$64,'Div 4'!$K$67,'Div 4'!$K$69,'Div 4'!$K$71,'Div 4'!$K$73,'Div 4'!$K$75,'Div 4'!$K$80,'Div 4'!$K$82,'Div 4'!$K$88,'Div 4'!$K$90,'Div 4'!$K$101,'Div 4'!$K$104,'Div 4'!$K$106,'Div 4'!$K$109</definedName>
    <definedName name="OSRRefE20x_1" localSheetId="90">'Div 5'!$K$19,'Div 5'!$K$30,'Div 5'!$K$41,'Div 5'!$K$43,'Div 5'!$K$45,'Div 5'!$K$47,'Div 5'!$K$50,'Div 5'!$K$52,'Div 5'!$K$54,'Div 5'!$K$56,'Div 5'!$K$59,'Div 5'!$K$61,'Div 5'!$K$65,'Div 5'!$K$67</definedName>
    <definedName name="OSRRefE20x_1" localSheetId="61">'Div 6'!$K$33,'Div 6'!$K$44,'Div 6'!$K$55,'Div 6'!$K$57,'Div 6'!$K$59,'Div 6'!$K$61,'Div 6'!$K$63,'Div 6'!$K$65,'Div 6'!$K$67,'Div 6'!$K$70</definedName>
    <definedName name="OSRRefE20x_1" localSheetId="2">Summary!$K$64,Summary!$K$75,Summary!$K$86,Summary!$K$88,Summary!$K$90,Summary!$K$92,Summary!$K$95,Summary!$K$98,Summary!$K$100,Summary!$K$102,Summary!$K$104,Summary!$K$107,Summary!$K$110,Summary!$K$112,Summary!$K$114,Summary!$K$116,Summary!$K$118,Summary!$K$120,Summary!$K$122,Summary!$K$127,Summary!$K$132,Summary!$K$138,Summary!$K$141,Summary!$K$152,Summary!$K$155,Summary!$K$157,Summary!$K$161</definedName>
    <definedName name="OSRRefE20x_2" localSheetId="40">'200'!$L$18,'200'!$L$20,'200'!$L$22,'200'!$L$24</definedName>
    <definedName name="OSRRefE20x_2" localSheetId="41">'201'!$L$18,'201'!$L$28,'201'!$L$39,'201'!$L$41,'201'!$L$43,'201'!$L$45,'201'!$L$47,'201'!$L$49,'201'!$L$51,'201'!$L$53,'201'!$L$57,'201'!$L$60,'201'!$L$62,'201'!$L$65,'201'!$L$67</definedName>
    <definedName name="OSRRefE20x_2" localSheetId="42">'202'!$L$18,'202'!$L$28,'202'!$L$39,'202'!$L$41,'202'!$L$43,'202'!$L$45,'202'!$L$47,'202'!$L$49,'202'!$L$53,'202'!$L$55,'202'!$L$57,'202'!$L$59,'202'!$L$61</definedName>
    <definedName name="OSRRefE20x_2" localSheetId="43">'203'!$L$18,'203'!$L$29,'203'!$L$40,'203'!$L$42,'203'!$L$44,'203'!$L$46,'203'!$L$48,'203'!$L$50,'203'!$L$52,'203'!$L$56,'203'!$L$59,'203'!$L$61,'203'!$L$66,'203'!$L$68</definedName>
    <definedName name="OSRRefE20x_2" localSheetId="44">'204'!$L$18,'204'!$L$28,'204'!$L$39,'204'!$L$42,'204'!$L$44,'204'!$L$49,'204'!$L$51,'204'!$L$53,'204'!$L$56,'204'!$L$58</definedName>
    <definedName name="OSRRefE20x_2" localSheetId="45">'205'!$L$18,'205'!$L$28,'205'!$L$39,'205'!$L$41,'205'!$L$43,'205'!$L$47,'205'!$L$49,'205'!$L$52</definedName>
    <definedName name="OSRRefE20x_2" localSheetId="46">'206'!$L$18,'206'!$L$28,'206'!$L$39,'206'!$L$41,'206'!$L$44,'206'!$L$46</definedName>
    <definedName name="OSRRefE20x_2" localSheetId="48">'300'!$L$52,'300'!$L$63,'300'!$L$74,'300'!$L$76,'300'!$L$78,'300'!$L$80,'300'!$L$83,'300'!$L$86,'300'!$L$88,'300'!$L$90,'300'!$L$92,'300'!$L$95,'300'!$L$97,'300'!$L$99,'300'!$L$101,'300'!$L$103,'300'!$L$105,'300'!$L$110,'300'!$L$115,'300'!$L$119,'300'!$L$122,'300'!$L$130,'300'!$L$133,'300'!$L$135,'300'!$L$139</definedName>
    <definedName name="OSRRefE20x_2" localSheetId="49">'300 &amp; 317'!$L$58,'300 &amp; 317'!$L$69,'300 &amp; 317'!$L$80,'300 &amp; 317'!$L$82,'300 &amp; 317'!$L$84,'300 &amp; 317'!$L$86,'300 &amp; 317'!$L$89,'300 &amp; 317'!$L$92,'300 &amp; 317'!$L$94,'300 &amp; 317'!$L$96,'300 &amp; 317'!$L$98,'300 &amp; 317'!$L$101,'300 &amp; 317'!$L$103,'300 &amp; 317'!$L$105,'300 &amp; 317'!$L$107,'300 &amp; 317'!$L$109,'300 &amp; 317'!$L$111,'300 &amp; 317'!$L$116,'300 &amp; 317'!$L$121,'300 &amp; 317'!$L$125,'300 &amp; 317'!$L$128,'300 &amp; 317'!$L$136,'300 &amp; 317'!$L$139,'300 &amp; 317'!$L$141,'300 &amp; 317'!$L$145</definedName>
    <definedName name="OSRRefE20x_2" localSheetId="50">'301'!$L$19,'301'!$L$30,'301'!$L$41,'301'!$L$43,'301'!$L$45,'301'!$L$47,'301'!$L$50,'301'!$L$53,'301'!$L$55,'301'!$L$57,'301'!$L$59,'301'!$L$61,'301'!$L$63,'301'!$L$65,'301'!$L$67,'301'!$L$69,'301'!$L$74,'301'!$L$77,'301'!$L$79,'301'!$L$86,'301'!$L$88,'301'!$L$90,'301'!$L$93</definedName>
    <definedName name="OSRRefE20x_2" localSheetId="52">'307'!$L$32,'307'!$L$41,'307'!$L$52,'307'!$L$54,'307'!$L$56,'307'!$L$58,'307'!$L$60,'307'!$L$62,'307'!$L$64,'307'!$L$66,'307'!$L$69,'307'!$L$72,'307'!$L$77</definedName>
    <definedName name="OSRRefE20x_2" localSheetId="53">'308'!$L$33,'308'!$L$44,'308'!$L$55,'308'!$L$57,'308'!$L$59,'308'!$L$61,'308'!$L$63,'308'!$L$65,'308'!$L$67,'308'!$L$71,'308'!$L$74,'308'!$L$77,'308'!$L$80</definedName>
    <definedName name="OSRRefE20x_2" localSheetId="64">'309'!$L$18,'309'!$L$20,'309'!$L$22,'309'!$L$24,'309'!$L$26,'309'!$L$29,'309'!$L$31</definedName>
    <definedName name="OSRRefE20x_2" localSheetId="63">'310'!$L$25,'310'!$L$35,'310'!$L$46,'310'!$L$48,'310'!$L$50,'310'!$L$52,'310'!$L$55,'310'!$L$57,'310'!$L$59,'310'!$L$61,'310'!$L$63,'310'!$L$65,'310'!$L$68,'310'!$L$70,'310'!$L$74,'310'!$L$80,'310'!$L$83,'310'!$L$85</definedName>
    <definedName name="OSRRefE20x_2" localSheetId="71">'310 &amp; 491'!$L$27,'310 &amp; 491'!$L$37,'310 &amp; 491'!$L$48,'310 &amp; 491'!$L$50,'310 &amp; 491'!$L$52,'310 &amp; 491'!$L$54,'310 &amp; 491'!$L$57,'310 &amp; 491'!$L$59,'310 &amp; 491'!$L$61,'310 &amp; 491'!$L$64,'310 &amp; 491'!$L$66,'310 &amp; 491'!$L$68,'310 &amp; 491'!$L$70,'310 &amp; 491'!$L$75,'310 &amp; 491'!$L$78,'310 &amp; 491'!$L$84,'310 &amp; 491'!$L$86,'310 &amp; 491'!$L$97,'310 &amp; 491'!$L$100,'310 &amp; 491'!$L$102,'310 &amp; 491'!$L$104</definedName>
    <definedName name="OSRRefE20x_2" localSheetId="54">'311'!$L$33,'311'!$L$44,'311'!$L$55,'311'!$L$57,'311'!$L$59,'311'!$L$61,'311'!$L$63,'311'!$L$65,'311'!$L$67,'311'!$L$71,'311'!$L$74,'311'!$L$77,'311'!$L$80</definedName>
    <definedName name="OSRRefE20x_2" localSheetId="65">'313'!$L$18,'313'!$L$20,'313'!$L$22</definedName>
    <definedName name="OSRRefE20x_2" localSheetId="57">'315'!$L$42,'315'!$L$52,'315'!$L$63,'315'!$L$65,'315'!$L$67,'315'!$L$69,'315'!$L$71,'315'!$L$73,'315'!$L$75,'315'!$L$78,'315'!$L$80,'315'!$L$82,'315'!$L$84,'315'!$L$87,'315'!$L$91,'315'!$L$94,'315'!$L$99,'315'!$L$101</definedName>
    <definedName name="OSRRefE20x_2" localSheetId="60">'316'!$L$25,'316'!$L$35,'316'!$L$46,'316'!$L$48,'316'!$L$50,'316'!$L$52,'316'!$L$55,'316'!$L$57,'316'!$L$60,'316'!$L$62,'316'!$L$67</definedName>
    <definedName name="OSRRefE20x_2" localSheetId="62">'317'!$L$33,'317'!$L$44,'317'!$L$55,'317'!$L$57,'317'!$L$59,'317'!$L$61,'317'!$L$63,'317'!$L$65,'317'!$L$67,'317'!$L$70</definedName>
    <definedName name="OSRRefE20x_2" localSheetId="66">'321'!$L$22,'321'!$L$32,'321'!$L$43,'321'!$L$45,'321'!$L$47,'321'!$L$49,'321'!$L$51,'321'!$L$54,'321'!$L$56,'321'!$L$59,'321'!$L$64,'321'!$L$66</definedName>
    <definedName name="OSRRefE20x_2" localSheetId="67">'322'!$L$18</definedName>
    <definedName name="OSRRefE20x_2" localSheetId="68">'325'!$L$23,'325'!$L$33,'325'!$L$44,'325'!$L$46,'325'!$L$48,'325'!$L$50,'325'!$L$53,'325'!$L$55,'325'!$L$57,'325'!$L$59,'325'!$L$61,'325'!$L$63,'325'!$L$66,'325'!$L$70,'325'!$L$76,'325'!$L$79</definedName>
    <definedName name="OSRRefE20x_2" localSheetId="58">'326'!$L$26,'326'!$L$36,'326'!$L$47,'326'!$L$49,'326'!$L$51,'326'!$L$53,'326'!$L$55,'326'!$L$57,'326'!$L$59,'326'!$L$61,'326'!$L$63,'326'!$L$65,'326'!$L$68,'326'!$L$71,'326'!$L$74,'326'!$L$78,'326'!$L$80,'326'!$L$83</definedName>
    <definedName name="OSRRefE20x_2" localSheetId="69">'327'!$L$24</definedName>
    <definedName name="OSRRefE20x_2" localSheetId="51">'330'!$L$32,'330'!$L$41,'330'!$L$52,'330'!$L$54,'330'!$L$56,'330'!$L$58,'330'!$L$60,'330'!$L$62,'330'!$L$64,'330'!$L$66,'330'!$L$69,'330'!$L$72,'330'!$L$77</definedName>
    <definedName name="OSRRefE20x_2" localSheetId="56">'331'!$L$42,'331'!$L$52,'331'!$L$63,'331'!$L$65,'331'!$L$67,'331'!$L$69,'331'!$L$71,'331'!$L$73,'331'!$L$75,'331'!$L$78,'331'!$L$80,'331'!$L$82,'331'!$L$84,'331'!$L$86,'331'!$L$88,'331'!$L$91,'331'!$L$95,'331'!$L$98,'331'!$L$101,'331'!$L$107,'331'!$L$109,'331'!$L$112</definedName>
    <definedName name="OSRRefE20x_2" localSheetId="59">'332'!$L$25,'332'!$L$35,'332'!$L$46,'332'!$L$48,'332'!$L$50,'332'!$L$52,'332'!$L$55,'332'!$L$57,'332'!$L$60,'332'!$L$62,'332'!$L$67</definedName>
    <definedName name="OSRRefE20x_2" localSheetId="73">'405'!$L$25,'405'!$L$35,'405'!$L$46,'405'!$L$48,'405'!$L$50,'405'!$L$52,'405'!$L$55,'405'!$L$57,'405'!$L$59,'405'!$L$61,'405'!$L$64,'405'!$L$68,'405'!$L$70,'405'!$L$79,'405'!$L$81,'405'!$L$83,'405'!$L$85</definedName>
    <definedName name="OSRRefE20x_2" localSheetId="74">'406'!$L$18</definedName>
    <definedName name="OSRRefE20x_2" localSheetId="75">'411'!$L$18,'411'!$L$28,'411'!$L$39,'411'!$L$41,'411'!$L$44,'411'!$L$46,'411'!$L$48,'411'!$L$50,'411'!$L$52,'411'!$L$57,'411'!$L$60,'411'!$L$62,'411'!$L$64,'411'!$L$66,'411'!$L$68</definedName>
    <definedName name="OSRRefE20x_2" localSheetId="76">'412'!$L$18,'412'!$L$20,'412'!$L$22</definedName>
    <definedName name="OSRRefE20x_2" localSheetId="77">'413'!$L$18,'413'!$L$20</definedName>
    <definedName name="OSRRefE20x_2" localSheetId="78">'414'!$L$18,'414'!$L$20</definedName>
    <definedName name="OSRRefE20x_2" localSheetId="79">'415'!$L$25,'415'!$L$35,'415'!$L$46,'415'!$L$48,'415'!$L$50,'415'!$L$52,'415'!$L$55,'415'!$L$57,'415'!$L$59,'415'!$L$61,'415'!$L$63,'415'!$L$65,'415'!$L$68,'415'!$L$73,'415'!$L$75,'415'!$L$81,'415'!$L$84,'415'!$L$86</definedName>
    <definedName name="OSRRefE20x_2" localSheetId="80">'418'!$L$22,'418'!$L$32,'418'!$L$43,'418'!$L$45,'418'!$L$47,'418'!$L$50,'418'!$L$52,'418'!$L$54,'418'!$L$57,'418'!$L$60,'418'!$L$64,'418'!$L$66,'418'!$L$74,'418'!$L$77,'418'!$L$79,'418'!$L$81</definedName>
    <definedName name="OSRRefE20x_2" localSheetId="81">'423'!$L$18,'423'!$L$27,'423'!$L$38,'423'!$L$40,'423'!$L$42</definedName>
    <definedName name="OSRRefE20x_2" localSheetId="82">'424'!$L$18,'424'!$L$20</definedName>
    <definedName name="OSRRefE20x_2" localSheetId="84">'425'!$L$20,'425'!$L$22,'425'!$L$24,'425'!$L$26,'425'!$L$28</definedName>
    <definedName name="OSRRefE20x_2" localSheetId="86">'430'!$L$18,'430'!$L$28,'430'!$L$39,'430'!$L$41,'430'!$L$43,'430'!$L$45,'430'!$L$48,'430'!$L$51,'430'!$L$53</definedName>
    <definedName name="OSRRefE20x_2" localSheetId="87">'433'!$L$25,'433'!$L$36,'433'!$L$47,'433'!$L$49,'433'!$L$51,'433'!$L$53,'433'!$L$55,'433'!$L$57,'433'!$L$59,'433'!$L$61,'433'!$L$63,'433'!$L$65,'433'!$L$69,'433'!$L$74,'433'!$L$83,'433'!$L$85</definedName>
    <definedName name="OSRRefE20x_2" localSheetId="88">'444'!$L$25,'444'!$L$36,'444'!$L$47,'444'!$L$49,'444'!$L$51,'444'!$L$53,'444'!$L$55,'444'!$L$57,'444'!$L$59,'444'!$L$61,'444'!$L$63,'444'!$L$65,'444'!$L$68,'444'!$L$73,'444'!$L$82,'444'!$L$84</definedName>
    <definedName name="OSRRefE20x_2" localSheetId="89">'450'!$L$25,'450'!$L$36,'450'!$L$47,'450'!$L$49,'450'!$L$51,'450'!$L$53,'450'!$L$55,'450'!$L$57,'450'!$L$59,'450'!$L$61,'450'!$L$63,'450'!$L$65,'450'!$L$68,'450'!$L$73,'450'!$L$81,'450'!$L$83,'450'!$L$85</definedName>
    <definedName name="OSRRefE20x_2" localSheetId="72">'491'!$L$26,'491'!$L$36,'491'!$L$47,'491'!$L$49,'491'!$L$51,'491'!$L$53,'491'!$L$56,'491'!$L$58,'491'!$L$60,'491'!$L$63,'491'!$L$65,'491'!$L$67,'491'!$L$69,'491'!$L$74,'491'!$L$76,'491'!$L$82,'491'!$L$84,'491'!$L$94,'491'!$L$97,'491'!$L$99,'491'!$L$101</definedName>
    <definedName name="OSRRefE20x_2" localSheetId="85">'492'!$L$25,'492'!$L$36,'492'!$L$47,'492'!$L$49,'492'!$L$51,'492'!$L$53,'492'!$L$55,'492'!$L$57,'492'!$L$59,'492'!$L$61,'492'!$L$63,'492'!$L$65,'492'!$L$67,'492'!$L$71,'492'!$L$76,'492'!$L$85,'492'!$L$88,'492'!$L$90</definedName>
    <definedName name="OSRRefE20x_2" localSheetId="91">'501'!$L$19,'501'!$L$30,'501'!$L$41,'501'!$L$43,'501'!$L$45,'501'!$L$47,'501'!$L$50,'501'!$L$52,'501'!$L$54,'501'!$L$56,'501'!$L$59,'501'!$L$61,'501'!$L$65,'501'!$L$67</definedName>
    <definedName name="OSRRefE20x_2" localSheetId="39">'Div 2'!$L$18,'Div 2'!$L$30,'Div 2'!$L$41,'Div 2'!$L$43,'Div 2'!$L$45,'Div 2'!$L$47,'Div 2'!$L$50,'Div 2'!$L$52,'Div 2'!$L$54,'Div 2'!$L$56,'Div 2'!$L$58,'Div 2'!$L$60,'Div 2'!$L$62,'Div 2'!$L$67,'Div 2'!$L$72,'Div 2'!$L$75,'Div 2'!$L$77,'Div 2'!$L$83,'Div 2'!$L$86,'Div 2'!$L$88</definedName>
    <definedName name="OSRRefE20x_2" localSheetId="47">'Div 3'!$L$56,'Div 3'!$L$67,'Div 3'!$L$78,'Div 3'!$L$80,'Div 3'!$L$82,'Div 3'!$L$84,'Div 3'!$L$87,'Div 3'!$L$90,'Div 3'!$L$92,'Div 3'!$L$94,'Div 3'!$L$96,'Div 3'!$L$99,'Div 3'!$L$101,'Div 3'!$L$103,'Div 3'!$L$105,'Div 3'!$L$107,'Div 3'!$L$109,'Div 3'!$L$111,'Div 3'!$L$116,'Div 3'!$L$121,'Div 3'!$L$126,'Div 3'!$L$129,'Div 3'!$L$137,'Div 3'!$L$140,'Div 3'!$L$142,'Div 3'!$L$146</definedName>
    <definedName name="OSRRefE20x_2" localSheetId="70">'Div 4'!$L$27,'Div 4'!$L$38,'Div 4'!$L$49,'Div 4'!$L$51,'Div 4'!$L$53,'Div 4'!$L$55,'Div 4'!$L$58,'Div 4'!$L$60,'Div 4'!$L$62,'Div 4'!$L$64,'Div 4'!$L$67,'Div 4'!$L$69,'Div 4'!$L$71,'Div 4'!$L$73,'Div 4'!$L$75,'Div 4'!$L$80,'Div 4'!$L$82,'Div 4'!$L$88,'Div 4'!$L$90,'Div 4'!$L$101,'Div 4'!$L$104,'Div 4'!$L$106,'Div 4'!$L$109</definedName>
    <definedName name="OSRRefE20x_2" localSheetId="90">'Div 5'!$L$19,'Div 5'!$L$30,'Div 5'!$L$41,'Div 5'!$L$43,'Div 5'!$L$45,'Div 5'!$L$47,'Div 5'!$L$50,'Div 5'!$L$52,'Div 5'!$L$54,'Div 5'!$L$56,'Div 5'!$L$59,'Div 5'!$L$61,'Div 5'!$L$65,'Div 5'!$L$67</definedName>
    <definedName name="OSRRefE20x_2" localSheetId="61">'Div 6'!$L$33,'Div 6'!$L$44,'Div 6'!$L$55,'Div 6'!$L$57,'Div 6'!$L$59,'Div 6'!$L$61,'Div 6'!$L$63,'Div 6'!$L$65,'Div 6'!$L$67,'Div 6'!$L$70</definedName>
    <definedName name="OSRRefE20x_2" localSheetId="2">Summary!$L$64,Summary!$L$75,Summary!$L$86,Summary!$L$88,Summary!$L$90,Summary!$L$92,Summary!$L$95,Summary!$L$98,Summary!$L$100,Summary!$L$102,Summary!$L$104,Summary!$L$107,Summary!$L$110,Summary!$L$112,Summary!$L$114,Summary!$L$116,Summary!$L$118,Summary!$L$120,Summary!$L$122,Summary!$L$127,Summary!$L$132,Summary!$L$138,Summary!$L$141,Summary!$L$152,Summary!$L$155,Summary!$L$157,Summary!$L$161</definedName>
    <definedName name="OSRRefE20x_3" localSheetId="40">'200'!$M$18,'200'!$M$20,'200'!$M$22,'200'!$M$24</definedName>
    <definedName name="OSRRefE20x_3" localSheetId="41">'201'!$M$18,'201'!$M$28,'201'!$M$39,'201'!$M$41,'201'!$M$43,'201'!$M$45,'201'!$M$47,'201'!$M$49,'201'!$M$51,'201'!$M$53,'201'!$M$57,'201'!$M$60,'201'!$M$62,'201'!$M$65,'201'!$M$67</definedName>
    <definedName name="OSRRefE20x_3" localSheetId="42">'202'!$M$18,'202'!$M$28,'202'!$M$39,'202'!$M$41,'202'!$M$43,'202'!$M$45,'202'!$M$47,'202'!$M$49,'202'!$M$53,'202'!$M$55,'202'!$M$57,'202'!$M$59,'202'!$M$61</definedName>
    <definedName name="OSRRefE20x_3" localSheetId="43">'203'!$M$18,'203'!$M$29,'203'!$M$40,'203'!$M$42,'203'!$M$44,'203'!$M$46,'203'!$M$48,'203'!$M$50,'203'!$M$52,'203'!$M$56,'203'!$M$59,'203'!$M$61,'203'!$M$66,'203'!$M$68</definedName>
    <definedName name="OSRRefE20x_3" localSheetId="44">'204'!$M$18,'204'!$M$28,'204'!$M$39,'204'!$M$42,'204'!$M$44,'204'!$M$49,'204'!$M$51,'204'!$M$53,'204'!$M$56,'204'!$M$58</definedName>
    <definedName name="OSRRefE20x_3" localSheetId="45">'205'!$M$18,'205'!$M$28,'205'!$M$39,'205'!$M$41,'205'!$M$43,'205'!$M$47,'205'!$M$49,'205'!$M$52</definedName>
    <definedName name="OSRRefE20x_3" localSheetId="46">'206'!$M$18,'206'!$M$28,'206'!$M$39,'206'!$M$41,'206'!$M$44,'206'!$M$46</definedName>
    <definedName name="OSRRefE20x_3" localSheetId="48">'300'!$M$52,'300'!$M$63,'300'!$M$74,'300'!$M$76,'300'!$M$78,'300'!$M$80,'300'!$M$83,'300'!$M$86,'300'!$M$88,'300'!$M$90,'300'!$M$92,'300'!$M$95,'300'!$M$97,'300'!$M$99,'300'!$M$101,'300'!$M$103,'300'!$M$105,'300'!$M$110,'300'!$M$115,'300'!$M$119,'300'!$M$122,'300'!$M$130,'300'!$M$133,'300'!$M$135,'300'!$M$139</definedName>
    <definedName name="OSRRefE20x_3" localSheetId="49">'300 &amp; 317'!$M$58,'300 &amp; 317'!$M$69,'300 &amp; 317'!$M$80,'300 &amp; 317'!$M$82,'300 &amp; 317'!$M$84,'300 &amp; 317'!$M$86,'300 &amp; 317'!$M$89,'300 &amp; 317'!$M$92,'300 &amp; 317'!$M$94,'300 &amp; 317'!$M$96,'300 &amp; 317'!$M$98,'300 &amp; 317'!$M$101,'300 &amp; 317'!$M$103,'300 &amp; 317'!$M$105,'300 &amp; 317'!$M$107,'300 &amp; 317'!$M$109,'300 &amp; 317'!$M$111,'300 &amp; 317'!$M$116,'300 &amp; 317'!$M$121,'300 &amp; 317'!$M$125,'300 &amp; 317'!$M$128,'300 &amp; 317'!$M$136,'300 &amp; 317'!$M$139,'300 &amp; 317'!$M$141,'300 &amp; 317'!$M$145</definedName>
    <definedName name="OSRRefE20x_3" localSheetId="50">'301'!$M$19,'301'!$M$30,'301'!$M$41,'301'!$M$43,'301'!$M$45,'301'!$M$47,'301'!$M$50,'301'!$M$53,'301'!$M$55,'301'!$M$57,'301'!$M$59,'301'!$M$61,'301'!$M$63,'301'!$M$65,'301'!$M$67,'301'!$M$69,'301'!$M$74,'301'!$M$77,'301'!$M$79,'301'!$M$86,'301'!$M$88,'301'!$M$90,'301'!$M$93</definedName>
    <definedName name="OSRRefE20x_3" localSheetId="52">'307'!$M$32,'307'!$M$41,'307'!$M$52,'307'!$M$54,'307'!$M$56,'307'!$M$58,'307'!$M$60,'307'!$M$62,'307'!$M$64,'307'!$M$66,'307'!$M$69,'307'!$M$72,'307'!$M$77</definedName>
    <definedName name="OSRRefE20x_3" localSheetId="53">'308'!$M$33,'308'!$M$44,'308'!$M$55,'308'!$M$57,'308'!$M$59,'308'!$M$61,'308'!$M$63,'308'!$M$65,'308'!$M$67,'308'!$M$71,'308'!$M$74,'308'!$M$77,'308'!$M$80</definedName>
    <definedName name="OSRRefE20x_3" localSheetId="64">'309'!$M$18,'309'!$M$20,'309'!$M$22,'309'!$M$24,'309'!$M$26,'309'!$M$29,'309'!$M$31</definedName>
    <definedName name="OSRRefE20x_3" localSheetId="63">'310'!$M$25,'310'!$M$35,'310'!$M$46,'310'!$M$48,'310'!$M$50,'310'!$M$52,'310'!$M$55,'310'!$M$57,'310'!$M$59,'310'!$M$61,'310'!$M$63,'310'!$M$65,'310'!$M$68,'310'!$M$70,'310'!$M$74,'310'!$M$80,'310'!$M$83,'310'!$M$85</definedName>
    <definedName name="OSRRefE20x_3" localSheetId="71">'310 &amp; 491'!$M$27,'310 &amp; 491'!$M$37,'310 &amp; 491'!$M$48,'310 &amp; 491'!$M$50,'310 &amp; 491'!$M$52,'310 &amp; 491'!$M$54,'310 &amp; 491'!$M$57,'310 &amp; 491'!$M$59,'310 &amp; 491'!$M$61,'310 &amp; 491'!$M$64,'310 &amp; 491'!$M$66,'310 &amp; 491'!$M$68,'310 &amp; 491'!$M$70,'310 &amp; 491'!$M$75,'310 &amp; 491'!$M$78,'310 &amp; 491'!$M$84,'310 &amp; 491'!$M$86,'310 &amp; 491'!$M$97,'310 &amp; 491'!$M$100,'310 &amp; 491'!$M$102,'310 &amp; 491'!$M$104</definedName>
    <definedName name="OSRRefE20x_3" localSheetId="54">'311'!$M$33,'311'!$M$44,'311'!$M$55,'311'!$M$57,'311'!$M$59,'311'!$M$61,'311'!$M$63,'311'!$M$65,'311'!$M$67,'311'!$M$71,'311'!$M$74,'311'!$M$77,'311'!$M$80</definedName>
    <definedName name="OSRRefE20x_3" localSheetId="65">'313'!$M$18,'313'!$M$20,'313'!$M$22</definedName>
    <definedName name="OSRRefE20x_3" localSheetId="57">'315'!$M$42,'315'!$M$52,'315'!$M$63,'315'!$M$65,'315'!$M$67,'315'!$M$69,'315'!$M$71,'315'!$M$73,'315'!$M$75,'315'!$M$78,'315'!$M$80,'315'!$M$82,'315'!$M$84,'315'!$M$87,'315'!$M$91,'315'!$M$94,'315'!$M$99,'315'!$M$101</definedName>
    <definedName name="OSRRefE20x_3" localSheetId="60">'316'!$M$25,'316'!$M$35,'316'!$M$46,'316'!$M$48,'316'!$M$50,'316'!$M$52,'316'!$M$55,'316'!$M$57,'316'!$M$60,'316'!$M$62,'316'!$M$67</definedName>
    <definedName name="OSRRefE20x_3" localSheetId="62">'317'!$M$33,'317'!$M$44,'317'!$M$55,'317'!$M$57,'317'!$M$59,'317'!$M$61,'317'!$M$63,'317'!$M$65,'317'!$M$67,'317'!$M$70</definedName>
    <definedName name="OSRRefE20x_3" localSheetId="66">'321'!$M$22,'321'!$M$32,'321'!$M$43,'321'!$M$45,'321'!$M$47,'321'!$M$49,'321'!$M$51,'321'!$M$54,'321'!$M$56,'321'!$M$59,'321'!$M$64,'321'!$M$66</definedName>
    <definedName name="OSRRefE20x_3" localSheetId="67">'322'!$M$18</definedName>
    <definedName name="OSRRefE20x_3" localSheetId="68">'325'!$M$23,'325'!$M$33,'325'!$M$44,'325'!$M$46,'325'!$M$48,'325'!$M$50,'325'!$M$53,'325'!$M$55,'325'!$M$57,'325'!$M$59,'325'!$M$61,'325'!$M$63,'325'!$M$66,'325'!$M$70,'325'!$M$76,'325'!$M$79</definedName>
    <definedName name="OSRRefE20x_3" localSheetId="58">'326'!$M$26,'326'!$M$36,'326'!$M$47,'326'!$M$49,'326'!$M$51,'326'!$M$53,'326'!$M$55,'326'!$M$57,'326'!$M$59,'326'!$M$61,'326'!$M$63,'326'!$M$65,'326'!$M$68,'326'!$M$71,'326'!$M$74,'326'!$M$78,'326'!$M$80,'326'!$M$83</definedName>
    <definedName name="OSRRefE20x_3" localSheetId="69">'327'!$M$24</definedName>
    <definedName name="OSRRefE20x_3" localSheetId="51">'330'!$M$32,'330'!$M$41,'330'!$M$52,'330'!$M$54,'330'!$M$56,'330'!$M$58,'330'!$M$60,'330'!$M$62,'330'!$M$64,'330'!$M$66,'330'!$M$69,'330'!$M$72,'330'!$M$77</definedName>
    <definedName name="OSRRefE20x_3" localSheetId="56">'331'!$M$42,'331'!$M$52,'331'!$M$63,'331'!$M$65,'331'!$M$67,'331'!$M$69,'331'!$M$71,'331'!$M$73,'331'!$M$75,'331'!$M$78,'331'!$M$80,'331'!$M$82,'331'!$M$84,'331'!$M$86,'331'!$M$88,'331'!$M$91,'331'!$M$95,'331'!$M$98,'331'!$M$101,'331'!$M$107,'331'!$M$109,'331'!$M$112</definedName>
    <definedName name="OSRRefE20x_3" localSheetId="59">'332'!$M$25,'332'!$M$35,'332'!$M$46,'332'!$M$48,'332'!$M$50,'332'!$M$52,'332'!$M$55,'332'!$M$57,'332'!$M$60,'332'!$M$62,'332'!$M$67</definedName>
    <definedName name="OSRRefE20x_3" localSheetId="73">'405'!$M$25,'405'!$M$35,'405'!$M$46,'405'!$M$48,'405'!$M$50,'405'!$M$52,'405'!$M$55,'405'!$M$57,'405'!$M$59,'405'!$M$61,'405'!$M$64,'405'!$M$68,'405'!$M$70,'405'!$M$79,'405'!$M$81,'405'!$M$83,'405'!$M$85</definedName>
    <definedName name="OSRRefE20x_3" localSheetId="74">'406'!$M$18</definedName>
    <definedName name="OSRRefE20x_3" localSheetId="75">'411'!$M$18,'411'!$M$28,'411'!$M$39,'411'!$M$41,'411'!$M$44,'411'!$M$46,'411'!$M$48,'411'!$M$50,'411'!$M$52,'411'!$M$57,'411'!$M$60,'411'!$M$62,'411'!$M$64,'411'!$M$66,'411'!$M$68</definedName>
    <definedName name="OSRRefE20x_3" localSheetId="76">'412'!$M$18,'412'!$M$20,'412'!$M$22</definedName>
    <definedName name="OSRRefE20x_3" localSheetId="77">'413'!$M$18,'413'!$M$20</definedName>
    <definedName name="OSRRefE20x_3" localSheetId="78">'414'!$M$18,'414'!$M$20</definedName>
    <definedName name="OSRRefE20x_3" localSheetId="79">'415'!$M$25,'415'!$M$35,'415'!$M$46,'415'!$M$48,'415'!$M$50,'415'!$M$52,'415'!$M$55,'415'!$M$57,'415'!$M$59,'415'!$M$61,'415'!$M$63,'415'!$M$65,'415'!$M$68,'415'!$M$73,'415'!$M$75,'415'!$M$81,'415'!$M$84,'415'!$M$86</definedName>
    <definedName name="OSRRefE20x_3" localSheetId="80">'418'!$M$22,'418'!$M$32,'418'!$M$43,'418'!$M$45,'418'!$M$47,'418'!$M$50,'418'!$M$52,'418'!$M$54,'418'!$M$57,'418'!$M$60,'418'!$M$64,'418'!$M$66,'418'!$M$74,'418'!$M$77,'418'!$M$79,'418'!$M$81</definedName>
    <definedName name="OSRRefE20x_3" localSheetId="81">'423'!$M$18,'423'!$M$27,'423'!$M$38,'423'!$M$40,'423'!$M$42</definedName>
    <definedName name="OSRRefE20x_3" localSheetId="82">'424'!$M$18,'424'!$M$20</definedName>
    <definedName name="OSRRefE20x_3" localSheetId="84">'425'!$M$20,'425'!$M$22,'425'!$M$24,'425'!$M$26,'425'!$M$28</definedName>
    <definedName name="OSRRefE20x_3" localSheetId="86">'430'!$M$18,'430'!$M$28,'430'!$M$39,'430'!$M$41,'430'!$M$43,'430'!$M$45,'430'!$M$48,'430'!$M$51,'430'!$M$53</definedName>
    <definedName name="OSRRefE20x_3" localSheetId="87">'433'!$M$25,'433'!$M$36,'433'!$M$47,'433'!$M$49,'433'!$M$51,'433'!$M$53,'433'!$M$55,'433'!$M$57,'433'!$M$59,'433'!$M$61,'433'!$M$63,'433'!$M$65,'433'!$M$69,'433'!$M$74,'433'!$M$83,'433'!$M$85</definedName>
    <definedName name="OSRRefE20x_3" localSheetId="88">'444'!$M$25,'444'!$M$36,'444'!$M$47,'444'!$M$49,'444'!$M$51,'444'!$M$53,'444'!$M$55,'444'!$M$57,'444'!$M$59,'444'!$M$61,'444'!$M$63,'444'!$M$65,'444'!$M$68,'444'!$M$73,'444'!$M$82,'444'!$M$84</definedName>
    <definedName name="OSRRefE20x_3" localSheetId="89">'450'!$M$25,'450'!$M$36,'450'!$M$47,'450'!$M$49,'450'!$M$51,'450'!$M$53,'450'!$M$55,'450'!$M$57,'450'!$M$59,'450'!$M$61,'450'!$M$63,'450'!$M$65,'450'!$M$68,'450'!$M$73,'450'!$M$81,'450'!$M$83,'450'!$M$85</definedName>
    <definedName name="OSRRefE20x_3" localSheetId="72">'491'!$M$26,'491'!$M$36,'491'!$M$47,'491'!$M$49,'491'!$M$51,'491'!$M$53,'491'!$M$56,'491'!$M$58,'491'!$M$60,'491'!$M$63,'491'!$M$65,'491'!$M$67,'491'!$M$69,'491'!$M$74,'491'!$M$76,'491'!$M$82,'491'!$M$84,'491'!$M$94,'491'!$M$97,'491'!$M$99,'491'!$M$101</definedName>
    <definedName name="OSRRefE20x_3" localSheetId="85">'492'!$M$25,'492'!$M$36,'492'!$M$47,'492'!$M$49,'492'!$M$51,'492'!$M$53,'492'!$M$55,'492'!$M$57,'492'!$M$59,'492'!$M$61,'492'!$M$63,'492'!$M$65,'492'!$M$67,'492'!$M$71,'492'!$M$76,'492'!$M$85,'492'!$M$88,'492'!$M$90</definedName>
    <definedName name="OSRRefE20x_3" localSheetId="91">'501'!$M$19,'501'!$M$30,'501'!$M$41,'501'!$M$43,'501'!$M$45,'501'!$M$47,'501'!$M$50,'501'!$M$52,'501'!$M$54,'501'!$M$56,'501'!$M$59,'501'!$M$61,'501'!$M$65,'501'!$M$67</definedName>
    <definedName name="OSRRefE20x_3" localSheetId="39">'Div 2'!$M$18,'Div 2'!$M$30,'Div 2'!$M$41,'Div 2'!$M$43,'Div 2'!$M$45,'Div 2'!$M$47,'Div 2'!$M$50,'Div 2'!$M$52,'Div 2'!$M$54,'Div 2'!$M$56,'Div 2'!$M$58,'Div 2'!$M$60,'Div 2'!$M$62,'Div 2'!$M$67,'Div 2'!$M$72,'Div 2'!$M$75,'Div 2'!$M$77,'Div 2'!$M$83,'Div 2'!$M$86,'Div 2'!$M$88</definedName>
    <definedName name="OSRRefE20x_3" localSheetId="47">'Div 3'!$M$56,'Div 3'!$M$67,'Div 3'!$M$78,'Div 3'!$M$80,'Div 3'!$M$82,'Div 3'!$M$84,'Div 3'!$M$87,'Div 3'!$M$90,'Div 3'!$M$92,'Div 3'!$M$94,'Div 3'!$M$96,'Div 3'!$M$99,'Div 3'!$M$101,'Div 3'!$M$103,'Div 3'!$M$105,'Div 3'!$M$107,'Div 3'!$M$109,'Div 3'!$M$111,'Div 3'!$M$116,'Div 3'!$M$121,'Div 3'!$M$126,'Div 3'!$M$129,'Div 3'!$M$137,'Div 3'!$M$140,'Div 3'!$M$142,'Div 3'!$M$146</definedName>
    <definedName name="OSRRefE20x_3" localSheetId="70">'Div 4'!$M$27,'Div 4'!$M$38,'Div 4'!$M$49,'Div 4'!$M$51,'Div 4'!$M$53,'Div 4'!$M$55,'Div 4'!$M$58,'Div 4'!$M$60,'Div 4'!$M$62,'Div 4'!$M$64,'Div 4'!$M$67,'Div 4'!$M$69,'Div 4'!$M$71,'Div 4'!$M$73,'Div 4'!$M$75,'Div 4'!$M$80,'Div 4'!$M$82,'Div 4'!$M$88,'Div 4'!$M$90,'Div 4'!$M$101,'Div 4'!$M$104,'Div 4'!$M$106,'Div 4'!$M$109</definedName>
    <definedName name="OSRRefE20x_3" localSheetId="90">'Div 5'!$M$19,'Div 5'!$M$30,'Div 5'!$M$41,'Div 5'!$M$43,'Div 5'!$M$45,'Div 5'!$M$47,'Div 5'!$M$50,'Div 5'!$M$52,'Div 5'!$M$54,'Div 5'!$M$56,'Div 5'!$M$59,'Div 5'!$M$61,'Div 5'!$M$65,'Div 5'!$M$67</definedName>
    <definedName name="OSRRefE20x_3" localSheetId="61">'Div 6'!$M$33,'Div 6'!$M$44,'Div 6'!$M$55,'Div 6'!$M$57,'Div 6'!$M$59,'Div 6'!$M$61,'Div 6'!$M$63,'Div 6'!$M$65,'Div 6'!$M$67,'Div 6'!$M$70</definedName>
    <definedName name="OSRRefE20x_3" localSheetId="2">Summary!$M$64,Summary!$M$75,Summary!$M$86,Summary!$M$88,Summary!$M$90,Summary!$M$92,Summary!$M$95,Summary!$M$98,Summary!$M$100,Summary!$M$102,Summary!$M$104,Summary!$M$107,Summary!$M$110,Summary!$M$112,Summary!$M$114,Summary!$M$116,Summary!$M$118,Summary!$M$120,Summary!$M$122,Summary!$M$127,Summary!$M$132,Summary!$M$138,Summary!$M$141,Summary!$M$152,Summary!$M$155,Summary!$M$157,Summary!$M$161</definedName>
    <definedName name="OSRRefE20x_4" localSheetId="40">'200'!$N$18,'200'!$N$20,'200'!$N$22,'200'!$N$24</definedName>
    <definedName name="OSRRefE20x_4" localSheetId="41">'201'!$N$18,'201'!$N$28,'201'!$N$39,'201'!$N$41,'201'!$N$43,'201'!$N$45,'201'!$N$47,'201'!$N$49,'201'!$N$51,'201'!$N$53,'201'!$N$57,'201'!$N$60,'201'!$N$62,'201'!$N$65,'201'!$N$67</definedName>
    <definedName name="OSRRefE20x_4" localSheetId="42">'202'!$N$18,'202'!$N$28,'202'!$N$39,'202'!$N$41,'202'!$N$43,'202'!$N$45,'202'!$N$47,'202'!$N$49,'202'!$N$53,'202'!$N$55,'202'!$N$57,'202'!$N$59,'202'!$N$61</definedName>
    <definedName name="OSRRefE20x_4" localSheetId="43">'203'!$N$18,'203'!$N$29,'203'!$N$40,'203'!$N$42,'203'!$N$44,'203'!$N$46,'203'!$N$48,'203'!$N$50,'203'!$N$52,'203'!$N$56,'203'!$N$59,'203'!$N$61,'203'!$N$66,'203'!$N$68</definedName>
    <definedName name="OSRRefE20x_4" localSheetId="44">'204'!$N$18,'204'!$N$28,'204'!$N$39,'204'!$N$42,'204'!$N$44,'204'!$N$49,'204'!$N$51,'204'!$N$53,'204'!$N$56,'204'!$N$58</definedName>
    <definedName name="OSRRefE20x_4" localSheetId="45">'205'!$N$18,'205'!$N$28,'205'!$N$39,'205'!$N$41,'205'!$N$43,'205'!$N$47,'205'!$N$49,'205'!$N$52</definedName>
    <definedName name="OSRRefE20x_4" localSheetId="46">'206'!$N$18,'206'!$N$28,'206'!$N$39,'206'!$N$41,'206'!$N$44,'206'!$N$46</definedName>
    <definedName name="OSRRefE20x_4" localSheetId="48">'300'!$N$52,'300'!$N$63,'300'!$N$74,'300'!$N$76,'300'!$N$78,'300'!$N$80,'300'!$N$83,'300'!$N$86,'300'!$N$88,'300'!$N$90,'300'!$N$92,'300'!$N$95,'300'!$N$97,'300'!$N$99,'300'!$N$101,'300'!$N$103,'300'!$N$105,'300'!$N$110,'300'!$N$115,'300'!$N$119,'300'!$N$122,'300'!$N$130,'300'!$N$133,'300'!$N$135,'300'!$N$139</definedName>
    <definedName name="OSRRefE20x_4" localSheetId="49">'300 &amp; 317'!$N$58,'300 &amp; 317'!$N$69,'300 &amp; 317'!$N$80,'300 &amp; 317'!$N$82,'300 &amp; 317'!$N$84,'300 &amp; 317'!$N$86,'300 &amp; 317'!$N$89,'300 &amp; 317'!$N$92,'300 &amp; 317'!$N$94,'300 &amp; 317'!$N$96,'300 &amp; 317'!$N$98,'300 &amp; 317'!$N$101,'300 &amp; 317'!$N$103,'300 &amp; 317'!$N$105,'300 &amp; 317'!$N$107,'300 &amp; 317'!$N$109,'300 &amp; 317'!$N$111,'300 &amp; 317'!$N$116,'300 &amp; 317'!$N$121,'300 &amp; 317'!$N$125,'300 &amp; 317'!$N$128,'300 &amp; 317'!$N$136,'300 &amp; 317'!$N$139,'300 &amp; 317'!$N$141,'300 &amp; 317'!$N$145</definedName>
    <definedName name="OSRRefE20x_4" localSheetId="50">'301'!$N$19,'301'!$N$30,'301'!$N$41,'301'!$N$43,'301'!$N$45,'301'!$N$47,'301'!$N$50,'301'!$N$53,'301'!$N$55,'301'!$N$57,'301'!$N$59,'301'!$N$61,'301'!$N$63,'301'!$N$65,'301'!$N$67,'301'!$N$69,'301'!$N$74,'301'!$N$77,'301'!$N$79,'301'!$N$86,'301'!$N$88,'301'!$N$90,'301'!$N$93</definedName>
    <definedName name="OSRRefE20x_4" localSheetId="52">'307'!$N$32,'307'!$N$41,'307'!$N$52,'307'!$N$54,'307'!$N$56,'307'!$N$58,'307'!$N$60,'307'!$N$62,'307'!$N$64,'307'!$N$66,'307'!$N$69,'307'!$N$72,'307'!$N$77</definedName>
    <definedName name="OSRRefE20x_4" localSheetId="53">'308'!$N$33,'308'!$N$44,'308'!$N$55,'308'!$N$57,'308'!$N$59,'308'!$N$61,'308'!$N$63,'308'!$N$65,'308'!$N$67,'308'!$N$71,'308'!$N$74,'308'!$N$77,'308'!$N$80</definedName>
    <definedName name="OSRRefE20x_4" localSheetId="64">'309'!$N$18,'309'!$N$20,'309'!$N$22,'309'!$N$24,'309'!$N$26,'309'!$N$29,'309'!$N$31</definedName>
    <definedName name="OSRRefE20x_4" localSheetId="63">'310'!$N$25,'310'!$N$35,'310'!$N$46,'310'!$N$48,'310'!$N$50,'310'!$N$52,'310'!$N$55,'310'!$N$57,'310'!$N$59,'310'!$N$61,'310'!$N$63,'310'!$N$65,'310'!$N$68,'310'!$N$70,'310'!$N$74,'310'!$N$80,'310'!$N$83,'310'!$N$85</definedName>
    <definedName name="OSRRefE20x_4" localSheetId="71">'310 &amp; 491'!$N$27,'310 &amp; 491'!$N$37,'310 &amp; 491'!$N$48,'310 &amp; 491'!$N$50,'310 &amp; 491'!$N$52,'310 &amp; 491'!$N$54,'310 &amp; 491'!$N$57,'310 &amp; 491'!$N$59,'310 &amp; 491'!$N$61,'310 &amp; 491'!$N$64,'310 &amp; 491'!$N$66,'310 &amp; 491'!$N$68,'310 &amp; 491'!$N$70,'310 &amp; 491'!$N$75,'310 &amp; 491'!$N$78,'310 &amp; 491'!$N$84,'310 &amp; 491'!$N$86,'310 &amp; 491'!$N$97,'310 &amp; 491'!$N$100,'310 &amp; 491'!$N$102,'310 &amp; 491'!$N$104</definedName>
    <definedName name="OSRRefE20x_4" localSheetId="54">'311'!$N$33,'311'!$N$44,'311'!$N$55,'311'!$N$57,'311'!$N$59,'311'!$N$61,'311'!$N$63,'311'!$N$65,'311'!$N$67,'311'!$N$71,'311'!$N$74,'311'!$N$77,'311'!$N$80</definedName>
    <definedName name="OSRRefE20x_4" localSheetId="65">'313'!$N$18,'313'!$N$20,'313'!$N$22</definedName>
    <definedName name="OSRRefE20x_4" localSheetId="57">'315'!$N$42,'315'!$N$52,'315'!$N$63,'315'!$N$65,'315'!$N$67,'315'!$N$69,'315'!$N$71,'315'!$N$73,'315'!$N$75,'315'!$N$78,'315'!$N$80,'315'!$N$82,'315'!$N$84,'315'!$N$87,'315'!$N$91,'315'!$N$94,'315'!$N$99,'315'!$N$101</definedName>
    <definedName name="OSRRefE20x_4" localSheetId="60">'316'!$N$25,'316'!$N$35,'316'!$N$46,'316'!$N$48,'316'!$N$50,'316'!$N$52,'316'!$N$55,'316'!$N$57,'316'!$N$60,'316'!$N$62,'316'!$N$67</definedName>
    <definedName name="OSRRefE20x_4" localSheetId="62">'317'!$N$33,'317'!$N$44,'317'!$N$55,'317'!$N$57,'317'!$N$59,'317'!$N$61,'317'!$N$63,'317'!$N$65,'317'!$N$67,'317'!$N$70</definedName>
    <definedName name="OSRRefE20x_4" localSheetId="66">'321'!$N$22,'321'!$N$32,'321'!$N$43,'321'!$N$45,'321'!$N$47,'321'!$N$49,'321'!$N$51,'321'!$N$54,'321'!$N$56,'321'!$N$59,'321'!$N$64,'321'!$N$66</definedName>
    <definedName name="OSRRefE20x_4" localSheetId="67">'322'!$N$18</definedName>
    <definedName name="OSRRefE20x_4" localSheetId="68">'325'!$N$23,'325'!$N$33,'325'!$N$44,'325'!$N$46,'325'!$N$48,'325'!$N$50,'325'!$N$53,'325'!$N$55,'325'!$N$57,'325'!$N$59,'325'!$N$61,'325'!$N$63,'325'!$N$66,'325'!$N$70,'325'!$N$76,'325'!$N$79</definedName>
    <definedName name="OSRRefE20x_4" localSheetId="58">'326'!$N$26,'326'!$N$36,'326'!$N$47,'326'!$N$49,'326'!$N$51,'326'!$N$53,'326'!$N$55,'326'!$N$57,'326'!$N$59,'326'!$N$61,'326'!$N$63,'326'!$N$65,'326'!$N$68,'326'!$N$71,'326'!$N$74,'326'!$N$78,'326'!$N$80,'326'!$N$83</definedName>
    <definedName name="OSRRefE20x_4" localSheetId="69">'327'!$N$24</definedName>
    <definedName name="OSRRefE20x_4" localSheetId="51">'330'!$N$32,'330'!$N$41,'330'!$N$52,'330'!$N$54,'330'!$N$56,'330'!$N$58,'330'!$N$60,'330'!$N$62,'330'!$N$64,'330'!$N$66,'330'!$N$69,'330'!$N$72,'330'!$N$77</definedName>
    <definedName name="OSRRefE20x_4" localSheetId="56">'331'!$N$42,'331'!$N$52,'331'!$N$63,'331'!$N$65,'331'!$N$67,'331'!$N$69,'331'!$N$71,'331'!$N$73,'331'!$N$75,'331'!$N$78,'331'!$N$80,'331'!$N$82,'331'!$N$84,'331'!$N$86,'331'!$N$88,'331'!$N$91,'331'!$N$95,'331'!$N$98,'331'!$N$101,'331'!$N$107,'331'!$N$109,'331'!$N$112</definedName>
    <definedName name="OSRRefE20x_4" localSheetId="59">'332'!$N$25,'332'!$N$35,'332'!$N$46,'332'!$N$48,'332'!$N$50,'332'!$N$52,'332'!$N$55,'332'!$N$57,'332'!$N$60,'332'!$N$62,'332'!$N$67</definedName>
    <definedName name="OSRRefE20x_4" localSheetId="73">'405'!$N$25,'405'!$N$35,'405'!$N$46,'405'!$N$48,'405'!$N$50,'405'!$N$52,'405'!$N$55,'405'!$N$57,'405'!$N$59,'405'!$N$61,'405'!$N$64,'405'!$N$68,'405'!$N$70,'405'!$N$79,'405'!$N$81,'405'!$N$83,'405'!$N$85</definedName>
    <definedName name="OSRRefE20x_4" localSheetId="74">'406'!$N$18</definedName>
    <definedName name="OSRRefE20x_4" localSheetId="75">'411'!$N$18,'411'!$N$28,'411'!$N$39,'411'!$N$41,'411'!$N$44,'411'!$N$46,'411'!$N$48,'411'!$N$50,'411'!$N$52,'411'!$N$57,'411'!$N$60,'411'!$N$62,'411'!$N$64,'411'!$N$66,'411'!$N$68</definedName>
    <definedName name="OSRRefE20x_4" localSheetId="76">'412'!$N$18,'412'!$N$20,'412'!$N$22</definedName>
    <definedName name="OSRRefE20x_4" localSheetId="77">'413'!$N$18,'413'!$N$20</definedName>
    <definedName name="OSRRefE20x_4" localSheetId="78">'414'!$N$18,'414'!$N$20</definedName>
    <definedName name="OSRRefE20x_4" localSheetId="79">'415'!$N$25,'415'!$N$35,'415'!$N$46,'415'!$N$48,'415'!$N$50,'415'!$N$52,'415'!$N$55,'415'!$N$57,'415'!$N$59,'415'!$N$61,'415'!$N$63,'415'!$N$65,'415'!$N$68,'415'!$N$73,'415'!$N$75,'415'!$N$81,'415'!$N$84,'415'!$N$86</definedName>
    <definedName name="OSRRefE20x_4" localSheetId="80">'418'!$N$22,'418'!$N$32,'418'!$N$43,'418'!$N$45,'418'!$N$47,'418'!$N$50,'418'!$N$52,'418'!$N$54,'418'!$N$57,'418'!$N$60,'418'!$N$64,'418'!$N$66,'418'!$N$74,'418'!$N$77,'418'!$N$79,'418'!$N$81</definedName>
    <definedName name="OSRRefE20x_4" localSheetId="81">'423'!$N$18,'423'!$N$27,'423'!$N$38,'423'!$N$40,'423'!$N$42</definedName>
    <definedName name="OSRRefE20x_4" localSheetId="82">'424'!$N$18,'424'!$N$20</definedName>
    <definedName name="OSRRefE20x_4" localSheetId="84">'425'!$N$20,'425'!$N$22,'425'!$N$24,'425'!$N$26,'425'!$N$28</definedName>
    <definedName name="OSRRefE20x_4" localSheetId="86">'430'!$N$18,'430'!$N$28,'430'!$N$39,'430'!$N$41,'430'!$N$43,'430'!$N$45,'430'!$N$48,'430'!$N$51,'430'!$N$53</definedName>
    <definedName name="OSRRefE20x_4" localSheetId="87">'433'!$N$25,'433'!$N$36,'433'!$N$47,'433'!$N$49,'433'!$N$51,'433'!$N$53,'433'!$N$55,'433'!$N$57,'433'!$N$59,'433'!$N$61,'433'!$N$63,'433'!$N$65,'433'!$N$69,'433'!$N$74,'433'!$N$83,'433'!$N$85</definedName>
    <definedName name="OSRRefE20x_4" localSheetId="88">'444'!$N$25,'444'!$N$36,'444'!$N$47,'444'!$N$49,'444'!$N$51,'444'!$N$53,'444'!$N$55,'444'!$N$57,'444'!$N$59,'444'!$N$61,'444'!$N$63,'444'!$N$65,'444'!$N$68,'444'!$N$73,'444'!$N$82,'444'!$N$84</definedName>
    <definedName name="OSRRefE20x_4" localSheetId="89">'450'!$N$25,'450'!$N$36,'450'!$N$47,'450'!$N$49,'450'!$N$51,'450'!$N$53,'450'!$N$55,'450'!$N$57,'450'!$N$59,'450'!$N$61,'450'!$N$63,'450'!$N$65,'450'!$N$68,'450'!$N$73,'450'!$N$81,'450'!$N$83,'450'!$N$85</definedName>
    <definedName name="OSRRefE20x_4" localSheetId="72">'491'!$N$26,'491'!$N$36,'491'!$N$47,'491'!$N$49,'491'!$N$51,'491'!$N$53,'491'!$N$56,'491'!$N$58,'491'!$N$60,'491'!$N$63,'491'!$N$65,'491'!$N$67,'491'!$N$69,'491'!$N$74,'491'!$N$76,'491'!$N$82,'491'!$N$84,'491'!$N$94,'491'!$N$97,'491'!$N$99,'491'!$N$101</definedName>
    <definedName name="OSRRefE20x_4" localSheetId="85">'492'!$N$25,'492'!$N$36,'492'!$N$47,'492'!$N$49,'492'!$N$51,'492'!$N$53,'492'!$N$55,'492'!$N$57,'492'!$N$59,'492'!$N$61,'492'!$N$63,'492'!$N$65,'492'!$N$67,'492'!$N$71,'492'!$N$76,'492'!$N$85,'492'!$N$88,'492'!$N$90</definedName>
    <definedName name="OSRRefE20x_4" localSheetId="91">'501'!$N$19,'501'!$N$30,'501'!$N$41,'501'!$N$43,'501'!$N$45,'501'!$N$47,'501'!$N$50,'501'!$N$52,'501'!$N$54,'501'!$N$56,'501'!$N$59,'501'!$N$61,'501'!$N$65,'501'!$N$67</definedName>
    <definedName name="OSRRefE20x_4" localSheetId="39">'Div 2'!$N$18,'Div 2'!$N$30,'Div 2'!$N$41,'Div 2'!$N$43,'Div 2'!$N$45,'Div 2'!$N$47,'Div 2'!$N$50,'Div 2'!$N$52,'Div 2'!$N$54,'Div 2'!$N$56,'Div 2'!$N$58,'Div 2'!$N$60,'Div 2'!$N$62,'Div 2'!$N$67,'Div 2'!$N$72,'Div 2'!$N$75,'Div 2'!$N$77,'Div 2'!$N$83,'Div 2'!$N$86,'Div 2'!$N$88</definedName>
    <definedName name="OSRRefE20x_4" localSheetId="47">'Div 3'!$N$56,'Div 3'!$N$67,'Div 3'!$N$78,'Div 3'!$N$80,'Div 3'!$N$82,'Div 3'!$N$84,'Div 3'!$N$87,'Div 3'!$N$90,'Div 3'!$N$92,'Div 3'!$N$94,'Div 3'!$N$96,'Div 3'!$N$99,'Div 3'!$N$101,'Div 3'!$N$103,'Div 3'!$N$105,'Div 3'!$N$107,'Div 3'!$N$109,'Div 3'!$N$111,'Div 3'!$N$116,'Div 3'!$N$121,'Div 3'!$N$126,'Div 3'!$N$129,'Div 3'!$N$137,'Div 3'!$N$140,'Div 3'!$N$142,'Div 3'!$N$146</definedName>
    <definedName name="OSRRefE20x_4" localSheetId="70">'Div 4'!$N$27,'Div 4'!$N$38,'Div 4'!$N$49,'Div 4'!$N$51,'Div 4'!$N$53,'Div 4'!$N$55,'Div 4'!$N$58,'Div 4'!$N$60,'Div 4'!$N$62,'Div 4'!$N$64,'Div 4'!$N$67,'Div 4'!$N$69,'Div 4'!$N$71,'Div 4'!$N$73,'Div 4'!$N$75,'Div 4'!$N$80,'Div 4'!$N$82,'Div 4'!$N$88,'Div 4'!$N$90,'Div 4'!$N$101,'Div 4'!$N$104,'Div 4'!$N$106,'Div 4'!$N$109</definedName>
    <definedName name="OSRRefE20x_4" localSheetId="90">'Div 5'!$N$19,'Div 5'!$N$30,'Div 5'!$N$41,'Div 5'!$N$43,'Div 5'!$N$45,'Div 5'!$N$47,'Div 5'!$N$50,'Div 5'!$N$52,'Div 5'!$N$54,'Div 5'!$N$56,'Div 5'!$N$59,'Div 5'!$N$61,'Div 5'!$N$65,'Div 5'!$N$67</definedName>
    <definedName name="OSRRefE20x_4" localSheetId="61">'Div 6'!$N$33,'Div 6'!$N$44,'Div 6'!$N$55,'Div 6'!$N$57,'Div 6'!$N$59,'Div 6'!$N$61,'Div 6'!$N$63,'Div 6'!$N$65,'Div 6'!$N$67,'Div 6'!$N$70</definedName>
    <definedName name="OSRRefE20x_4" localSheetId="2">Summary!$N$64,Summary!$N$75,Summary!$N$86,Summary!$N$88,Summary!$N$90,Summary!$N$92,Summary!$N$95,Summary!$N$98,Summary!$N$100,Summary!$N$102,Summary!$N$104,Summary!$N$107,Summary!$N$110,Summary!$N$112,Summary!$N$114,Summary!$N$116,Summary!$N$118,Summary!$N$120,Summary!$N$122,Summary!$N$127,Summary!$N$132,Summary!$N$138,Summary!$N$141,Summary!$N$152,Summary!$N$155,Summary!$N$157,Summary!$N$161</definedName>
    <definedName name="OSRRefE20x_5" localSheetId="40">'200'!$O$18,'200'!$O$20,'200'!$O$22,'200'!$O$24</definedName>
    <definedName name="OSRRefE20x_5" localSheetId="41">'201'!$O$18,'201'!$O$28,'201'!$O$39,'201'!$O$41,'201'!$O$43,'201'!$O$45,'201'!$O$47,'201'!$O$49,'201'!$O$51,'201'!$O$53,'201'!$O$57,'201'!$O$60,'201'!$O$62,'201'!$O$65,'201'!$O$67</definedName>
    <definedName name="OSRRefE20x_5" localSheetId="42">'202'!$O$18,'202'!$O$28,'202'!$O$39,'202'!$O$41,'202'!$O$43,'202'!$O$45,'202'!$O$47,'202'!$O$49,'202'!$O$53,'202'!$O$55,'202'!$O$57,'202'!$O$59,'202'!$O$61</definedName>
    <definedName name="OSRRefE20x_5" localSheetId="43">'203'!$O$18,'203'!$O$29,'203'!$O$40,'203'!$O$42,'203'!$O$44,'203'!$O$46,'203'!$O$48,'203'!$O$50,'203'!$O$52,'203'!$O$56,'203'!$O$59,'203'!$O$61,'203'!$O$66,'203'!$O$68</definedName>
    <definedName name="OSRRefE20x_5" localSheetId="44">'204'!$O$18,'204'!$O$28,'204'!$O$39,'204'!$O$42,'204'!$O$44,'204'!$O$49,'204'!$O$51,'204'!$O$53,'204'!$O$56,'204'!$O$58</definedName>
    <definedName name="OSRRefE20x_5" localSheetId="45">'205'!$O$18,'205'!$O$28,'205'!$O$39,'205'!$O$41,'205'!$O$43,'205'!$O$47,'205'!$O$49,'205'!$O$52</definedName>
    <definedName name="OSRRefE20x_5" localSheetId="46">'206'!$O$18,'206'!$O$28,'206'!$O$39,'206'!$O$41,'206'!$O$44,'206'!$O$46</definedName>
    <definedName name="OSRRefE20x_5" localSheetId="48">'300'!$O$52,'300'!$O$63,'300'!$O$74,'300'!$O$76,'300'!$O$78,'300'!$O$80,'300'!$O$83,'300'!$O$86,'300'!$O$88,'300'!$O$90,'300'!$O$92,'300'!$O$95,'300'!$O$97,'300'!$O$99,'300'!$O$101,'300'!$O$103,'300'!$O$105,'300'!$O$110,'300'!$O$115,'300'!$O$119,'300'!$O$122,'300'!$O$130,'300'!$O$133,'300'!$O$135,'300'!$O$139</definedName>
    <definedName name="OSRRefE20x_5" localSheetId="49">'300 &amp; 317'!$O$58,'300 &amp; 317'!$O$69,'300 &amp; 317'!$O$80,'300 &amp; 317'!$O$82,'300 &amp; 317'!$O$84,'300 &amp; 317'!$O$86,'300 &amp; 317'!$O$89,'300 &amp; 317'!$O$92,'300 &amp; 317'!$O$94,'300 &amp; 317'!$O$96,'300 &amp; 317'!$O$98,'300 &amp; 317'!$O$101,'300 &amp; 317'!$O$103,'300 &amp; 317'!$O$105,'300 &amp; 317'!$O$107,'300 &amp; 317'!$O$109,'300 &amp; 317'!$O$111,'300 &amp; 317'!$O$116,'300 &amp; 317'!$O$121,'300 &amp; 317'!$O$125,'300 &amp; 317'!$O$128,'300 &amp; 317'!$O$136,'300 &amp; 317'!$O$139,'300 &amp; 317'!$O$141,'300 &amp; 317'!$O$145</definedName>
    <definedName name="OSRRefE20x_5" localSheetId="50">'301'!$O$19,'301'!$O$30,'301'!$O$41,'301'!$O$43,'301'!$O$45,'301'!$O$47,'301'!$O$50,'301'!$O$53,'301'!$O$55,'301'!$O$57,'301'!$O$59,'301'!$O$61,'301'!$O$63,'301'!$O$65,'301'!$O$67,'301'!$O$69,'301'!$O$74,'301'!$O$77,'301'!$O$79,'301'!$O$86,'301'!$O$88,'301'!$O$90,'301'!$O$93</definedName>
    <definedName name="OSRRefE20x_5" localSheetId="52">'307'!$O$32,'307'!$O$41,'307'!$O$52,'307'!$O$54,'307'!$O$56,'307'!$O$58,'307'!$O$60,'307'!$O$62,'307'!$O$64,'307'!$O$66,'307'!$O$69,'307'!$O$72,'307'!$O$77</definedName>
    <definedName name="OSRRefE20x_5" localSheetId="53">'308'!$O$33,'308'!$O$44,'308'!$O$55,'308'!$O$57,'308'!$O$59,'308'!$O$61,'308'!$O$63,'308'!$O$65,'308'!$O$67,'308'!$O$71,'308'!$O$74,'308'!$O$77,'308'!$O$80</definedName>
    <definedName name="OSRRefE20x_5" localSheetId="64">'309'!$O$18,'309'!$O$20,'309'!$O$22,'309'!$O$24,'309'!$O$26,'309'!$O$29,'309'!$O$31</definedName>
    <definedName name="OSRRefE20x_5" localSheetId="63">'310'!$O$25,'310'!$O$35,'310'!$O$46,'310'!$O$48,'310'!$O$50,'310'!$O$52,'310'!$O$55,'310'!$O$57,'310'!$O$59,'310'!$O$61,'310'!$O$63,'310'!$O$65,'310'!$O$68,'310'!$O$70,'310'!$O$74,'310'!$O$80,'310'!$O$83,'310'!$O$85</definedName>
    <definedName name="OSRRefE20x_5" localSheetId="71">'310 &amp; 491'!$O$27,'310 &amp; 491'!$O$37,'310 &amp; 491'!$O$48,'310 &amp; 491'!$O$50,'310 &amp; 491'!$O$52,'310 &amp; 491'!$O$54,'310 &amp; 491'!$O$57,'310 &amp; 491'!$O$59,'310 &amp; 491'!$O$61,'310 &amp; 491'!$O$64,'310 &amp; 491'!$O$66,'310 &amp; 491'!$O$68,'310 &amp; 491'!$O$70,'310 &amp; 491'!$O$75,'310 &amp; 491'!$O$78,'310 &amp; 491'!$O$84,'310 &amp; 491'!$O$86,'310 &amp; 491'!$O$97,'310 &amp; 491'!$O$100,'310 &amp; 491'!$O$102,'310 &amp; 491'!$O$104</definedName>
    <definedName name="OSRRefE20x_5" localSheetId="54">'311'!$O$33,'311'!$O$44,'311'!$O$55,'311'!$O$57,'311'!$O$59,'311'!$O$61,'311'!$O$63,'311'!$O$65,'311'!$O$67,'311'!$O$71,'311'!$O$74,'311'!$O$77,'311'!$O$80</definedName>
    <definedName name="OSRRefE20x_5" localSheetId="65">'313'!$O$18,'313'!$O$20,'313'!$O$22</definedName>
    <definedName name="OSRRefE20x_5" localSheetId="57">'315'!$O$42,'315'!$O$52,'315'!$O$63,'315'!$O$65,'315'!$O$67,'315'!$O$69,'315'!$O$71,'315'!$O$73,'315'!$O$75,'315'!$O$78,'315'!$O$80,'315'!$O$82,'315'!$O$84,'315'!$O$87,'315'!$O$91,'315'!$O$94,'315'!$O$99,'315'!$O$101</definedName>
    <definedName name="OSRRefE20x_5" localSheetId="60">'316'!$O$25,'316'!$O$35,'316'!$O$46,'316'!$O$48,'316'!$O$50,'316'!$O$52,'316'!$O$55,'316'!$O$57,'316'!$O$60,'316'!$O$62,'316'!$O$67</definedName>
    <definedName name="OSRRefE20x_5" localSheetId="62">'317'!$O$33,'317'!$O$44,'317'!$O$55,'317'!$O$57,'317'!$O$59,'317'!$O$61,'317'!$O$63,'317'!$O$65,'317'!$O$67,'317'!$O$70</definedName>
    <definedName name="OSRRefE20x_5" localSheetId="66">'321'!$O$22,'321'!$O$32,'321'!$O$43,'321'!$O$45,'321'!$O$47,'321'!$O$49,'321'!$O$51,'321'!$O$54,'321'!$O$56,'321'!$O$59,'321'!$O$64,'321'!$O$66</definedName>
    <definedName name="OSRRefE20x_5" localSheetId="67">'322'!$O$18</definedName>
    <definedName name="OSRRefE20x_5" localSheetId="68">'325'!$O$23,'325'!$O$33,'325'!$O$44,'325'!$O$46,'325'!$O$48,'325'!$O$50,'325'!$O$53,'325'!$O$55,'325'!$O$57,'325'!$O$59,'325'!$O$61,'325'!$O$63,'325'!$O$66,'325'!$O$70,'325'!$O$76,'325'!$O$79</definedName>
    <definedName name="OSRRefE20x_5" localSheetId="58">'326'!$O$26,'326'!$O$36,'326'!$O$47,'326'!$O$49,'326'!$O$51,'326'!$O$53,'326'!$O$55,'326'!$O$57,'326'!$O$59,'326'!$O$61,'326'!$O$63,'326'!$O$65,'326'!$O$68,'326'!$O$71,'326'!$O$74,'326'!$O$78,'326'!$O$80,'326'!$O$83</definedName>
    <definedName name="OSRRefE20x_5" localSheetId="69">'327'!$O$24</definedName>
    <definedName name="OSRRefE20x_5" localSheetId="51">'330'!$O$32,'330'!$O$41,'330'!$O$52,'330'!$O$54,'330'!$O$56,'330'!$O$58,'330'!$O$60,'330'!$O$62,'330'!$O$64,'330'!$O$66,'330'!$O$69,'330'!$O$72,'330'!$O$77</definedName>
    <definedName name="OSRRefE20x_5" localSheetId="56">'331'!$O$42,'331'!$O$52,'331'!$O$63,'331'!$O$65,'331'!$O$67,'331'!$O$69,'331'!$O$71,'331'!$O$73,'331'!$O$75,'331'!$O$78,'331'!$O$80,'331'!$O$82,'331'!$O$84,'331'!$O$86,'331'!$O$88,'331'!$O$91,'331'!$O$95,'331'!$O$98,'331'!$O$101,'331'!$O$107,'331'!$O$109,'331'!$O$112</definedName>
    <definedName name="OSRRefE20x_5" localSheetId="59">'332'!$O$25,'332'!$O$35,'332'!$O$46,'332'!$O$48,'332'!$O$50,'332'!$O$52,'332'!$O$55,'332'!$O$57,'332'!$O$60,'332'!$O$62,'332'!$O$67</definedName>
    <definedName name="OSRRefE20x_5" localSheetId="73">'405'!$O$25,'405'!$O$35,'405'!$O$46,'405'!$O$48,'405'!$O$50,'405'!$O$52,'405'!$O$55,'405'!$O$57,'405'!$O$59,'405'!$O$61,'405'!$O$64,'405'!$O$68,'405'!$O$70,'405'!$O$79,'405'!$O$81,'405'!$O$83,'405'!$O$85</definedName>
    <definedName name="OSRRefE20x_5" localSheetId="74">'406'!$O$18</definedName>
    <definedName name="OSRRefE20x_5" localSheetId="75">'411'!$O$18,'411'!$O$28,'411'!$O$39,'411'!$O$41,'411'!$O$44,'411'!$O$46,'411'!$O$48,'411'!$O$50,'411'!$O$52,'411'!$O$57,'411'!$O$60,'411'!$O$62,'411'!$O$64,'411'!$O$66,'411'!$O$68</definedName>
    <definedName name="OSRRefE20x_5" localSheetId="76">'412'!$O$18,'412'!$O$20,'412'!$O$22</definedName>
    <definedName name="OSRRefE20x_5" localSheetId="77">'413'!$O$18,'413'!$O$20</definedName>
    <definedName name="OSRRefE20x_5" localSheetId="78">'414'!$O$18,'414'!$O$20</definedName>
    <definedName name="OSRRefE20x_5" localSheetId="79">'415'!$O$25,'415'!$O$35,'415'!$O$46,'415'!$O$48,'415'!$O$50,'415'!$O$52,'415'!$O$55,'415'!$O$57,'415'!$O$59,'415'!$O$61,'415'!$O$63,'415'!$O$65,'415'!$O$68,'415'!$O$73,'415'!$O$75,'415'!$O$81,'415'!$O$84,'415'!$O$86</definedName>
    <definedName name="OSRRefE20x_5" localSheetId="80">'418'!$O$22,'418'!$O$32,'418'!$O$43,'418'!$O$45,'418'!$O$47,'418'!$O$50,'418'!$O$52,'418'!$O$54,'418'!$O$57,'418'!$O$60,'418'!$O$64,'418'!$O$66,'418'!$O$74,'418'!$O$77,'418'!$O$79,'418'!$O$81</definedName>
    <definedName name="OSRRefE20x_5" localSheetId="81">'423'!$O$18,'423'!$O$27,'423'!$O$38,'423'!$O$40,'423'!$O$42</definedName>
    <definedName name="OSRRefE20x_5" localSheetId="82">'424'!$O$18,'424'!$O$20</definedName>
    <definedName name="OSRRefE20x_5" localSheetId="84">'425'!$O$20,'425'!$O$22,'425'!$O$24,'425'!$O$26,'425'!$O$28</definedName>
    <definedName name="OSRRefE20x_5" localSheetId="86">'430'!$O$18,'430'!$O$28,'430'!$O$39,'430'!$O$41,'430'!$O$43,'430'!$O$45,'430'!$O$48,'430'!$O$51,'430'!$O$53</definedName>
    <definedName name="OSRRefE20x_5" localSheetId="87">'433'!$O$25,'433'!$O$36,'433'!$O$47,'433'!$O$49,'433'!$O$51,'433'!$O$53,'433'!$O$55,'433'!$O$57,'433'!$O$59,'433'!$O$61,'433'!$O$63,'433'!$O$65,'433'!$O$69,'433'!$O$74,'433'!$O$83,'433'!$O$85</definedName>
    <definedName name="OSRRefE20x_5" localSheetId="88">'444'!$O$25,'444'!$O$36,'444'!$O$47,'444'!$O$49,'444'!$O$51,'444'!$O$53,'444'!$O$55,'444'!$O$57,'444'!$O$59,'444'!$O$61,'444'!$O$63,'444'!$O$65,'444'!$O$68,'444'!$O$73,'444'!$O$82,'444'!$O$84</definedName>
    <definedName name="OSRRefE20x_5" localSheetId="89">'450'!$O$25,'450'!$O$36,'450'!$O$47,'450'!$O$49,'450'!$O$51,'450'!$O$53,'450'!$O$55,'450'!$O$57,'450'!$O$59,'450'!$O$61,'450'!$O$63,'450'!$O$65,'450'!$O$68,'450'!$O$73,'450'!$O$81,'450'!$O$83,'450'!$O$85</definedName>
    <definedName name="OSRRefE20x_5" localSheetId="72">'491'!$O$26,'491'!$O$36,'491'!$O$47,'491'!$O$49,'491'!$O$51,'491'!$O$53,'491'!$O$56,'491'!$O$58,'491'!$O$60,'491'!$O$63,'491'!$O$65,'491'!$O$67,'491'!$O$69,'491'!$O$74,'491'!$O$76,'491'!$O$82,'491'!$O$84,'491'!$O$94,'491'!$O$97,'491'!$O$99,'491'!$O$101</definedName>
    <definedName name="OSRRefE20x_5" localSheetId="85">'492'!$O$25,'492'!$O$36,'492'!$O$47,'492'!$O$49,'492'!$O$51,'492'!$O$53,'492'!$O$55,'492'!$O$57,'492'!$O$59,'492'!$O$61,'492'!$O$63,'492'!$O$65,'492'!$O$67,'492'!$O$71,'492'!$O$76,'492'!$O$85,'492'!$O$88,'492'!$O$90</definedName>
    <definedName name="OSRRefE20x_5" localSheetId="91">'501'!$O$19,'501'!$O$30,'501'!$O$41,'501'!$O$43,'501'!$O$45,'501'!$O$47,'501'!$O$50,'501'!$O$52,'501'!$O$54,'501'!$O$56,'501'!$O$59,'501'!$O$61,'501'!$O$65,'501'!$O$67</definedName>
    <definedName name="OSRRefE20x_5" localSheetId="39">'Div 2'!$O$18,'Div 2'!$O$30,'Div 2'!$O$41,'Div 2'!$O$43,'Div 2'!$O$45,'Div 2'!$O$47,'Div 2'!$O$50,'Div 2'!$O$52,'Div 2'!$O$54,'Div 2'!$O$56,'Div 2'!$O$58,'Div 2'!$O$60,'Div 2'!$O$62,'Div 2'!$O$67,'Div 2'!$O$72,'Div 2'!$O$75,'Div 2'!$O$77,'Div 2'!$O$83,'Div 2'!$O$86,'Div 2'!$O$88</definedName>
    <definedName name="OSRRefE20x_5" localSheetId="47">'Div 3'!$O$56,'Div 3'!$O$67,'Div 3'!$O$78,'Div 3'!$O$80,'Div 3'!$O$82,'Div 3'!$O$84,'Div 3'!$O$87,'Div 3'!$O$90,'Div 3'!$O$92,'Div 3'!$O$94,'Div 3'!$O$96,'Div 3'!$O$99,'Div 3'!$O$101,'Div 3'!$O$103,'Div 3'!$O$105,'Div 3'!$O$107,'Div 3'!$O$109,'Div 3'!$O$111,'Div 3'!$O$116,'Div 3'!$O$121,'Div 3'!$O$126,'Div 3'!$O$129,'Div 3'!$O$137,'Div 3'!$O$140,'Div 3'!$O$142,'Div 3'!$O$146</definedName>
    <definedName name="OSRRefE20x_5" localSheetId="70">'Div 4'!$O$27,'Div 4'!$O$38,'Div 4'!$O$49,'Div 4'!$O$51,'Div 4'!$O$53,'Div 4'!$O$55,'Div 4'!$O$58,'Div 4'!$O$60,'Div 4'!$O$62,'Div 4'!$O$64,'Div 4'!$O$67,'Div 4'!$O$69,'Div 4'!$O$71,'Div 4'!$O$73,'Div 4'!$O$75,'Div 4'!$O$80,'Div 4'!$O$82,'Div 4'!$O$88,'Div 4'!$O$90,'Div 4'!$O$101,'Div 4'!$O$104,'Div 4'!$O$106,'Div 4'!$O$109</definedName>
    <definedName name="OSRRefE20x_5" localSheetId="90">'Div 5'!$O$19,'Div 5'!$O$30,'Div 5'!$O$41,'Div 5'!$O$43,'Div 5'!$O$45,'Div 5'!$O$47,'Div 5'!$O$50,'Div 5'!$O$52,'Div 5'!$O$54,'Div 5'!$O$56,'Div 5'!$O$59,'Div 5'!$O$61,'Div 5'!$O$65,'Div 5'!$O$67</definedName>
    <definedName name="OSRRefE20x_5" localSheetId="61">'Div 6'!$O$33,'Div 6'!$O$44,'Div 6'!$O$55,'Div 6'!$O$57,'Div 6'!$O$59,'Div 6'!$O$61,'Div 6'!$O$63,'Div 6'!$O$65,'Div 6'!$O$67,'Div 6'!$O$70</definedName>
    <definedName name="OSRRefE20x_5" localSheetId="2">Summary!$O$64,Summary!$O$75,Summary!$O$86,Summary!$O$88,Summary!$O$90,Summary!$O$92,Summary!$O$95,Summary!$O$98,Summary!$O$100,Summary!$O$102,Summary!$O$104,Summary!$O$107,Summary!$O$110,Summary!$O$112,Summary!$O$114,Summary!$O$116,Summary!$O$118,Summary!$O$120,Summary!$O$122,Summary!$O$127,Summary!$O$132,Summary!$O$138,Summary!$O$141,Summary!$O$152,Summary!$O$155,Summary!$O$157,Summary!$O$161</definedName>
    <definedName name="OSRRefE21_0_0x" localSheetId="40">'200'!$J$19:$O$19</definedName>
    <definedName name="OSRRefE21_0_0x" localSheetId="41">'201'!$J$19:$O$19</definedName>
    <definedName name="OSRRefE21_0_0x" localSheetId="42">'202'!$J$19:$O$19</definedName>
    <definedName name="OSRRefE21_0_0x" localSheetId="43">'203'!$J$19:$O$19</definedName>
    <definedName name="OSRRefE21_0_0x" localSheetId="44">'204'!$J$19:$O$19</definedName>
    <definedName name="OSRRefE21_0_0x" localSheetId="45">'205'!$J$19:$O$19</definedName>
    <definedName name="OSRRefE21_0_0x" localSheetId="46">'206'!$J$19:$O$19</definedName>
    <definedName name="OSRRefE21_0_0x" localSheetId="48">'300'!$J$53:$O$53</definedName>
    <definedName name="OSRRefE21_0_0x" localSheetId="49">'300 &amp; 317'!$J$59:$O$59</definedName>
    <definedName name="OSRRefE21_0_0x" localSheetId="50">'301'!$J$20:$O$20</definedName>
    <definedName name="OSRRefE21_0_0x" localSheetId="52">'307'!$J$33:$O$33</definedName>
    <definedName name="OSRRefE21_0_0x" localSheetId="53">'308'!$J$34:$O$34</definedName>
    <definedName name="OSRRefE21_0_0x" localSheetId="64">'309'!$J$19:$O$19</definedName>
    <definedName name="OSRRefE21_0_0x" localSheetId="63">'310'!$J$26:$O$26</definedName>
    <definedName name="OSRRefE21_0_0x" localSheetId="71">'310 &amp; 491'!$J$28:$O$28</definedName>
    <definedName name="OSRRefE21_0_0x" localSheetId="54">'311'!$J$34:$O$34</definedName>
    <definedName name="OSRRefE21_0_0x" localSheetId="65">'313'!$J$19:$O$19</definedName>
    <definedName name="OSRRefE21_0_0x" localSheetId="57">'315'!$J$43:$O$43</definedName>
    <definedName name="OSRRefE21_0_0x" localSheetId="60">'316'!$J$26:$O$26</definedName>
    <definedName name="OSRRefE21_0_0x" localSheetId="62">'317'!$J$34:$O$34</definedName>
    <definedName name="OSRRefE21_0_0x" localSheetId="66">'321'!$J$23:$O$23</definedName>
    <definedName name="OSRRefE21_0_0x" localSheetId="67">'322'!$J$19:$O$19</definedName>
    <definedName name="OSRRefE21_0_0x" localSheetId="68">'325'!$J$24:$O$24</definedName>
    <definedName name="OSRRefE21_0_0x" localSheetId="58">'326'!$J$27:$O$27</definedName>
    <definedName name="OSRRefE21_0_0x" localSheetId="69">'327'!$J$25:$O$25</definedName>
    <definedName name="OSRRefE21_0_0x" localSheetId="51">'330'!$J$33:$O$33</definedName>
    <definedName name="OSRRefE21_0_0x" localSheetId="56">'331'!$J$43:$O$43</definedName>
    <definedName name="OSRRefE21_0_0x" localSheetId="59">'332'!$J$26:$O$26</definedName>
    <definedName name="OSRRefE21_0_0x" localSheetId="73">'405'!$J$26:$O$26</definedName>
    <definedName name="OSRRefE21_0_0x" localSheetId="74">'406'!$J$19:$O$19</definedName>
    <definedName name="OSRRefE21_0_0x" localSheetId="75">'411'!$J$19:$O$19</definedName>
    <definedName name="OSRRefE21_0_0x" localSheetId="76">'412'!$J$19:$O$19</definedName>
    <definedName name="OSRRefE21_0_0x" localSheetId="77">'413'!$J$19:$O$19</definedName>
    <definedName name="OSRRefE21_0_0x" localSheetId="78">'414'!$J$19:$O$19</definedName>
    <definedName name="OSRRefE21_0_0x" localSheetId="79">'415'!$J$26:$O$26</definedName>
    <definedName name="OSRRefE21_0_0x" localSheetId="80">'418'!$J$23:$O$23</definedName>
    <definedName name="OSRRefE21_0_0x" localSheetId="81">'423'!$J$19:$O$19</definedName>
    <definedName name="OSRRefE21_0_0x" localSheetId="82">'424'!$J$19:$O$19</definedName>
    <definedName name="OSRRefE21_0_0x" localSheetId="84">'425'!$J$21:$O$21</definedName>
    <definedName name="OSRRefE21_0_0x" localSheetId="86">'430'!$J$19:$O$19</definedName>
    <definedName name="OSRRefE21_0_0x" localSheetId="87">'433'!$J$26:$O$26</definedName>
    <definedName name="OSRRefE21_0_0x" localSheetId="88">'444'!$J$26:$O$26</definedName>
    <definedName name="OSRRefE21_0_0x" localSheetId="89">'450'!$J$26:$O$26</definedName>
    <definedName name="OSRRefE21_0_0x" localSheetId="72">'491'!$J$27:$O$27</definedName>
    <definedName name="OSRRefE21_0_0x" localSheetId="85">'492'!$J$26:$O$26</definedName>
    <definedName name="OSRRefE21_0_0x" localSheetId="91">'501'!$J$20:$O$20</definedName>
    <definedName name="OSRRefE21_0_0x" localSheetId="39">'Div 2'!$J$19:$O$19</definedName>
    <definedName name="OSRRefE21_0_0x" localSheetId="47">'Div 3'!$J$57:$O$57</definedName>
    <definedName name="OSRRefE21_0_0x" localSheetId="70">'Div 4'!$J$28:$O$28</definedName>
    <definedName name="OSRRefE21_0_0x" localSheetId="90">'Div 5'!$J$20:$O$20</definedName>
    <definedName name="OSRRefE21_0_0x" localSheetId="61">'Div 6'!$J$34:$O$34</definedName>
    <definedName name="OSRRefE21_0_0x" localSheetId="2">Summary!$J$65:$O$65</definedName>
    <definedName name="OSRRefE21_0_10x" localSheetId="39">'Div 2'!$J$29:$O$29</definedName>
    <definedName name="OSRRefE21_0_1x" localSheetId="41">'201'!$J$20:$O$20</definedName>
    <definedName name="OSRRefE21_0_1x" localSheetId="42">'202'!$J$20:$O$20</definedName>
    <definedName name="OSRRefE21_0_1x" localSheetId="43">'203'!$J$20:$O$20</definedName>
    <definedName name="OSRRefE21_0_1x" localSheetId="44">'204'!$J$20:$O$20</definedName>
    <definedName name="OSRRefE21_0_1x" localSheetId="45">'205'!$J$20:$O$20</definedName>
    <definedName name="OSRRefE21_0_1x" localSheetId="46">'206'!$J$20:$O$20</definedName>
    <definedName name="OSRRefE21_0_1x" localSheetId="48">'300'!$J$54:$O$54</definedName>
    <definedName name="OSRRefE21_0_1x" localSheetId="49">'300 &amp; 317'!$J$60:$O$60</definedName>
    <definedName name="OSRRefE21_0_1x" localSheetId="50">'301'!$J$21:$O$21</definedName>
    <definedName name="OSRRefE21_0_1x" localSheetId="52">'307'!$J$34:$O$34</definedName>
    <definedName name="OSRRefE21_0_1x" localSheetId="53">'308'!$J$35:$O$35</definedName>
    <definedName name="OSRRefE21_0_1x" localSheetId="63">'310'!$J$27:$O$27</definedName>
    <definedName name="OSRRefE21_0_1x" localSheetId="71">'310 &amp; 491'!$J$29:$O$29</definedName>
    <definedName name="OSRRefE21_0_1x" localSheetId="54">'311'!$J$35:$O$35</definedName>
    <definedName name="OSRRefE21_0_1x" localSheetId="57">'315'!$J$44:$O$44</definedName>
    <definedName name="OSRRefE21_0_1x" localSheetId="60">'316'!$J$27:$O$27</definedName>
    <definedName name="OSRRefE21_0_1x" localSheetId="62">'317'!$J$35:$O$35</definedName>
    <definedName name="OSRRefE21_0_1x" localSheetId="66">'321'!$J$24:$O$24</definedName>
    <definedName name="OSRRefE21_0_1x" localSheetId="68">'325'!$J$25:$O$25</definedName>
    <definedName name="OSRRefE21_0_1x" localSheetId="58">'326'!$J$28:$O$28</definedName>
    <definedName name="OSRRefE21_0_1x" localSheetId="51">'330'!$J$34:$O$34</definedName>
    <definedName name="OSRRefE21_0_1x" localSheetId="56">'331'!$J$44:$O$44</definedName>
    <definedName name="OSRRefE21_0_1x" localSheetId="59">'332'!$J$27:$O$27</definedName>
    <definedName name="OSRRefE21_0_1x" localSheetId="73">'405'!$J$27:$O$27</definedName>
    <definedName name="OSRRefE21_0_1x" localSheetId="75">'411'!$J$20:$O$20</definedName>
    <definedName name="OSRRefE21_0_1x" localSheetId="79">'415'!$J$27:$O$27</definedName>
    <definedName name="OSRRefE21_0_1x" localSheetId="80">'418'!$J$24:$O$24</definedName>
    <definedName name="OSRRefE21_0_1x" localSheetId="81">'423'!$J$20:$O$20</definedName>
    <definedName name="OSRRefE21_0_1x" localSheetId="86">'430'!$J$20:$O$20</definedName>
    <definedName name="OSRRefE21_0_1x" localSheetId="87">'433'!$J$27:$O$27</definedName>
    <definedName name="OSRRefE21_0_1x" localSheetId="88">'444'!$J$27:$O$27</definedName>
    <definedName name="OSRRefE21_0_1x" localSheetId="89">'450'!$J$27:$O$27</definedName>
    <definedName name="OSRRefE21_0_1x" localSheetId="72">'491'!$J$28:$O$28</definedName>
    <definedName name="OSRRefE21_0_1x" localSheetId="85">'492'!$J$27:$O$27</definedName>
    <definedName name="OSRRefE21_0_1x" localSheetId="91">'501'!$J$21:$O$21</definedName>
    <definedName name="OSRRefE21_0_1x" localSheetId="39">'Div 2'!$J$20:$O$20</definedName>
    <definedName name="OSRRefE21_0_1x" localSheetId="47">'Div 3'!$J$58:$O$58</definedName>
    <definedName name="OSRRefE21_0_1x" localSheetId="70">'Div 4'!$J$29:$O$29</definedName>
    <definedName name="OSRRefE21_0_1x" localSheetId="90">'Div 5'!$J$21:$O$21</definedName>
    <definedName name="OSRRefE21_0_1x" localSheetId="61">'Div 6'!$J$35:$O$35</definedName>
    <definedName name="OSRRefE21_0_1x" localSheetId="2">Summary!$J$66:$O$66</definedName>
    <definedName name="OSRRefE21_0_2x" localSheetId="41">'201'!$J$21:$O$21</definedName>
    <definedName name="OSRRefE21_0_2x" localSheetId="42">'202'!$J$21:$O$21</definedName>
    <definedName name="OSRRefE21_0_2x" localSheetId="43">'203'!$J$21:$O$21</definedName>
    <definedName name="OSRRefE21_0_2x" localSheetId="44">'204'!$J$21:$O$21</definedName>
    <definedName name="OSRRefE21_0_2x" localSheetId="45">'205'!$J$21:$O$21</definedName>
    <definedName name="OSRRefE21_0_2x" localSheetId="46">'206'!$J$21:$O$21</definedName>
    <definedName name="OSRRefE21_0_2x" localSheetId="48">'300'!$J$55:$O$55</definedName>
    <definedName name="OSRRefE21_0_2x" localSheetId="49">'300 &amp; 317'!$J$61:$O$61</definedName>
    <definedName name="OSRRefE21_0_2x" localSheetId="50">'301'!$J$22:$O$22</definedName>
    <definedName name="OSRRefE21_0_2x" localSheetId="52">'307'!$J$35:$O$35</definedName>
    <definedName name="OSRRefE21_0_2x" localSheetId="53">'308'!$J$36:$O$36</definedName>
    <definedName name="OSRRefE21_0_2x" localSheetId="63">'310'!$J$28:$O$28</definedName>
    <definedName name="OSRRefE21_0_2x" localSheetId="71">'310 &amp; 491'!$J$30:$O$30</definedName>
    <definedName name="OSRRefE21_0_2x" localSheetId="54">'311'!$J$36:$O$36</definedName>
    <definedName name="OSRRefE21_0_2x" localSheetId="57">'315'!$J$45:$O$45</definedName>
    <definedName name="OSRRefE21_0_2x" localSheetId="60">'316'!$J$28:$O$28</definedName>
    <definedName name="OSRRefE21_0_2x" localSheetId="62">'317'!$J$36:$O$36</definedName>
    <definedName name="OSRRefE21_0_2x" localSheetId="66">'321'!$J$25:$O$25</definedName>
    <definedName name="OSRRefE21_0_2x" localSheetId="68">'325'!$J$26:$O$26</definedName>
    <definedName name="OSRRefE21_0_2x" localSheetId="58">'326'!$J$29:$O$29</definedName>
    <definedName name="OSRRefE21_0_2x" localSheetId="51">'330'!$J$35:$O$35</definedName>
    <definedName name="OSRRefE21_0_2x" localSheetId="56">'331'!$J$45:$O$45</definedName>
    <definedName name="OSRRefE21_0_2x" localSheetId="59">'332'!$J$28:$O$28</definedName>
    <definedName name="OSRRefE21_0_2x" localSheetId="73">'405'!$J$28:$O$28</definedName>
    <definedName name="OSRRefE21_0_2x" localSheetId="75">'411'!$J$21:$O$21</definedName>
    <definedName name="OSRRefE21_0_2x" localSheetId="79">'415'!$J$28:$O$28</definedName>
    <definedName name="OSRRefE21_0_2x" localSheetId="80">'418'!$J$25:$O$25</definedName>
    <definedName name="OSRRefE21_0_2x" localSheetId="81">'423'!$J$21:$O$21</definedName>
    <definedName name="OSRRefE21_0_2x" localSheetId="86">'430'!$J$21:$O$21</definedName>
    <definedName name="OSRRefE21_0_2x" localSheetId="87">'433'!$J$28:$O$28</definedName>
    <definedName name="OSRRefE21_0_2x" localSheetId="88">'444'!$J$28:$O$28</definedName>
    <definedName name="OSRRefE21_0_2x" localSheetId="89">'450'!$J$28:$O$28</definedName>
    <definedName name="OSRRefE21_0_2x" localSheetId="72">'491'!$J$29:$O$29</definedName>
    <definedName name="OSRRefE21_0_2x" localSheetId="85">'492'!$J$28:$O$28</definedName>
    <definedName name="OSRRefE21_0_2x" localSheetId="91">'501'!$J$22:$O$22</definedName>
    <definedName name="OSRRefE21_0_2x" localSheetId="39">'Div 2'!$J$21:$O$21</definedName>
    <definedName name="OSRRefE21_0_2x" localSheetId="47">'Div 3'!$J$59:$O$59</definedName>
    <definedName name="OSRRefE21_0_2x" localSheetId="70">'Div 4'!$J$30:$O$30</definedName>
    <definedName name="OSRRefE21_0_2x" localSheetId="90">'Div 5'!$J$22:$O$22</definedName>
    <definedName name="OSRRefE21_0_2x" localSheetId="61">'Div 6'!$J$36:$O$36</definedName>
    <definedName name="OSRRefE21_0_2x" localSheetId="2">Summary!$J$67:$O$67</definedName>
    <definedName name="OSRRefE21_0_3x" localSheetId="41">'201'!$J$22:$O$22</definedName>
    <definedName name="OSRRefE21_0_3x" localSheetId="42">'202'!$J$22:$O$22</definedName>
    <definedName name="OSRRefE21_0_3x" localSheetId="43">'203'!$J$22:$O$22</definedName>
    <definedName name="OSRRefE21_0_3x" localSheetId="44">'204'!$J$22:$O$22</definedName>
    <definedName name="OSRRefE21_0_3x" localSheetId="45">'205'!$J$22:$O$22</definedName>
    <definedName name="OSRRefE21_0_3x" localSheetId="46">'206'!$J$22:$O$22</definedName>
    <definedName name="OSRRefE21_0_3x" localSheetId="48">'300'!$J$56:$O$56</definedName>
    <definedName name="OSRRefE21_0_3x" localSheetId="49">'300 &amp; 317'!$J$62:$O$62</definedName>
    <definedName name="OSRRefE21_0_3x" localSheetId="50">'301'!$J$23:$O$23</definedName>
    <definedName name="OSRRefE21_0_3x" localSheetId="52">'307'!$J$36:$O$36</definedName>
    <definedName name="OSRRefE21_0_3x" localSheetId="53">'308'!$J$37:$O$37</definedName>
    <definedName name="OSRRefE21_0_3x" localSheetId="63">'310'!$J$29:$O$29</definedName>
    <definedName name="OSRRefE21_0_3x" localSheetId="71">'310 &amp; 491'!$J$31:$O$31</definedName>
    <definedName name="OSRRefE21_0_3x" localSheetId="54">'311'!$J$37:$O$37</definedName>
    <definedName name="OSRRefE21_0_3x" localSheetId="57">'315'!$J$46:$O$46</definedName>
    <definedName name="OSRRefE21_0_3x" localSheetId="60">'316'!$J$29:$O$29</definedName>
    <definedName name="OSRRefE21_0_3x" localSheetId="62">'317'!$J$37:$O$37</definedName>
    <definedName name="OSRRefE21_0_3x" localSheetId="66">'321'!$J$26:$O$26</definedName>
    <definedName name="OSRRefE21_0_3x" localSheetId="68">'325'!$J$27:$O$27</definedName>
    <definedName name="OSRRefE21_0_3x" localSheetId="58">'326'!$J$30:$O$30</definedName>
    <definedName name="OSRRefE21_0_3x" localSheetId="51">'330'!$J$36:$O$36</definedName>
    <definedName name="OSRRefE21_0_3x" localSheetId="56">'331'!$J$46:$O$46</definedName>
    <definedName name="OSRRefE21_0_3x" localSheetId="59">'332'!$J$29:$O$29</definedName>
    <definedName name="OSRRefE21_0_3x" localSheetId="73">'405'!$J$29:$O$29</definedName>
    <definedName name="OSRRefE21_0_3x" localSheetId="75">'411'!$J$22:$O$22</definedName>
    <definedName name="OSRRefE21_0_3x" localSheetId="79">'415'!$J$29:$O$29</definedName>
    <definedName name="OSRRefE21_0_3x" localSheetId="80">'418'!$J$26:$O$26</definedName>
    <definedName name="OSRRefE21_0_3x" localSheetId="81">'423'!$J$22:$O$22</definedName>
    <definedName name="OSRRefE21_0_3x" localSheetId="86">'430'!$J$22:$O$22</definedName>
    <definedName name="OSRRefE21_0_3x" localSheetId="87">'433'!$J$29:$O$29</definedName>
    <definedName name="OSRRefE21_0_3x" localSheetId="88">'444'!$J$29:$O$29</definedName>
    <definedName name="OSRRefE21_0_3x" localSheetId="89">'450'!$J$29:$O$29</definedName>
    <definedName name="OSRRefE21_0_3x" localSheetId="72">'491'!$J$30:$O$30</definedName>
    <definedName name="OSRRefE21_0_3x" localSheetId="85">'492'!$J$29:$O$29</definedName>
    <definedName name="OSRRefE21_0_3x" localSheetId="91">'501'!$J$23:$O$23</definedName>
    <definedName name="OSRRefE21_0_3x" localSheetId="39">'Div 2'!$J$22:$O$22</definedName>
    <definedName name="OSRRefE21_0_3x" localSheetId="47">'Div 3'!$J$60:$O$60</definedName>
    <definedName name="OSRRefE21_0_3x" localSheetId="70">'Div 4'!$J$31:$O$31</definedName>
    <definedName name="OSRRefE21_0_3x" localSheetId="90">'Div 5'!$J$23:$O$23</definedName>
    <definedName name="OSRRefE21_0_3x" localSheetId="61">'Div 6'!$J$37:$O$37</definedName>
    <definedName name="OSRRefE21_0_3x" localSheetId="2">Summary!$J$68:$O$68</definedName>
    <definedName name="OSRRefE21_0_4x" localSheetId="41">'201'!$J$23:$O$23</definedName>
    <definedName name="OSRRefE21_0_4x" localSheetId="42">'202'!$J$23:$O$23</definedName>
    <definedName name="OSRRefE21_0_4x" localSheetId="43">'203'!$J$23:$O$23</definedName>
    <definedName name="OSRRefE21_0_4x" localSheetId="44">'204'!$J$23:$O$23</definedName>
    <definedName name="OSRRefE21_0_4x" localSheetId="45">'205'!$J$23:$O$23</definedName>
    <definedName name="OSRRefE21_0_4x" localSheetId="46">'206'!$J$23:$O$23</definedName>
    <definedName name="OSRRefE21_0_4x" localSheetId="48">'300'!$J$57:$O$57</definedName>
    <definedName name="OSRRefE21_0_4x" localSheetId="49">'300 &amp; 317'!$J$63:$O$63</definedName>
    <definedName name="OSRRefE21_0_4x" localSheetId="50">'301'!$J$24:$O$24</definedName>
    <definedName name="OSRRefE21_0_4x" localSheetId="52">'307'!$J$37:$O$37</definedName>
    <definedName name="OSRRefE21_0_4x" localSheetId="53">'308'!$J$38:$O$38</definedName>
    <definedName name="OSRRefE21_0_4x" localSheetId="63">'310'!$J$30:$O$30</definedName>
    <definedName name="OSRRefE21_0_4x" localSheetId="71">'310 &amp; 491'!$J$32:$O$32</definedName>
    <definedName name="OSRRefE21_0_4x" localSheetId="54">'311'!$J$38:$O$38</definedName>
    <definedName name="OSRRefE21_0_4x" localSheetId="57">'315'!$J$47:$O$47</definedName>
    <definedName name="OSRRefE21_0_4x" localSheetId="60">'316'!$J$30:$O$30</definedName>
    <definedName name="OSRRefE21_0_4x" localSheetId="62">'317'!$J$38:$O$38</definedName>
    <definedName name="OSRRefE21_0_4x" localSheetId="66">'321'!$J$27:$O$27</definedName>
    <definedName name="OSRRefE21_0_4x" localSheetId="68">'325'!$J$28:$O$28</definedName>
    <definedName name="OSRRefE21_0_4x" localSheetId="58">'326'!$J$31:$O$31</definedName>
    <definedName name="OSRRefE21_0_4x" localSheetId="51">'330'!$J$37:$O$37</definedName>
    <definedName name="OSRRefE21_0_4x" localSheetId="56">'331'!$J$47:$O$47</definedName>
    <definedName name="OSRRefE21_0_4x" localSheetId="59">'332'!$J$30:$O$30</definedName>
    <definedName name="OSRRefE21_0_4x" localSheetId="73">'405'!$J$30:$O$30</definedName>
    <definedName name="OSRRefE21_0_4x" localSheetId="75">'411'!$J$23:$O$23</definedName>
    <definedName name="OSRRefE21_0_4x" localSheetId="79">'415'!$J$30:$O$30</definedName>
    <definedName name="OSRRefE21_0_4x" localSheetId="80">'418'!$J$27:$O$27</definedName>
    <definedName name="OSRRefE21_0_4x" localSheetId="81">'423'!$J$23:$O$23</definedName>
    <definedName name="OSRRefE21_0_4x" localSheetId="86">'430'!$J$23:$O$23</definedName>
    <definedName name="OSRRefE21_0_4x" localSheetId="87">'433'!$J$30:$O$30</definedName>
    <definedName name="OSRRefE21_0_4x" localSheetId="88">'444'!$J$30:$O$30</definedName>
    <definedName name="OSRRefE21_0_4x" localSheetId="89">'450'!$J$30:$O$30</definedName>
    <definedName name="OSRRefE21_0_4x" localSheetId="72">'491'!$J$31:$O$31</definedName>
    <definedName name="OSRRefE21_0_4x" localSheetId="85">'492'!$J$30:$O$30</definedName>
    <definedName name="OSRRefE21_0_4x" localSheetId="91">'501'!$J$24:$O$24</definedName>
    <definedName name="OSRRefE21_0_4x" localSheetId="39">'Div 2'!$J$23:$O$23</definedName>
    <definedName name="OSRRefE21_0_4x" localSheetId="47">'Div 3'!$J$61:$O$61</definedName>
    <definedName name="OSRRefE21_0_4x" localSheetId="70">'Div 4'!$J$32:$O$32</definedName>
    <definedName name="OSRRefE21_0_4x" localSheetId="90">'Div 5'!$J$24:$O$24</definedName>
    <definedName name="OSRRefE21_0_4x" localSheetId="61">'Div 6'!$J$38:$O$38</definedName>
    <definedName name="OSRRefE21_0_4x" localSheetId="2">Summary!$J$69:$O$69</definedName>
    <definedName name="OSRRefE21_0_5x" localSheetId="41">'201'!$J$24:$O$24</definedName>
    <definedName name="OSRRefE21_0_5x" localSheetId="42">'202'!$J$24:$O$24</definedName>
    <definedName name="OSRRefE21_0_5x" localSheetId="43">'203'!$J$24:$O$24</definedName>
    <definedName name="OSRRefE21_0_5x" localSheetId="44">'204'!$J$24:$O$24</definedName>
    <definedName name="OSRRefE21_0_5x" localSheetId="45">'205'!$J$24:$O$24</definedName>
    <definedName name="OSRRefE21_0_5x" localSheetId="46">'206'!$J$24:$O$24</definedName>
    <definedName name="OSRRefE21_0_5x" localSheetId="48">'300'!$J$58:$O$58</definedName>
    <definedName name="OSRRefE21_0_5x" localSheetId="49">'300 &amp; 317'!$J$64:$O$64</definedName>
    <definedName name="OSRRefE21_0_5x" localSheetId="50">'301'!$J$25:$O$25</definedName>
    <definedName name="OSRRefE21_0_5x" localSheetId="52">'307'!$J$38:$O$38</definedName>
    <definedName name="OSRRefE21_0_5x" localSheetId="53">'308'!$J$39:$O$39</definedName>
    <definedName name="OSRRefE21_0_5x" localSheetId="63">'310'!$J$31:$O$31</definedName>
    <definedName name="OSRRefE21_0_5x" localSheetId="71">'310 &amp; 491'!$J$33:$O$33</definedName>
    <definedName name="OSRRefE21_0_5x" localSheetId="54">'311'!$J$39:$O$39</definedName>
    <definedName name="OSRRefE21_0_5x" localSheetId="57">'315'!$J$48:$O$48</definedName>
    <definedName name="OSRRefE21_0_5x" localSheetId="60">'316'!$J$31:$O$31</definedName>
    <definedName name="OSRRefE21_0_5x" localSheetId="62">'317'!$J$39:$O$39</definedName>
    <definedName name="OSRRefE21_0_5x" localSheetId="66">'321'!$J$28:$O$28</definedName>
    <definedName name="OSRRefE21_0_5x" localSheetId="68">'325'!$J$29:$O$29</definedName>
    <definedName name="OSRRefE21_0_5x" localSheetId="58">'326'!$J$32:$O$32</definedName>
    <definedName name="OSRRefE21_0_5x" localSheetId="51">'330'!$J$38:$O$38</definedName>
    <definedName name="OSRRefE21_0_5x" localSheetId="56">'331'!$J$48:$O$48</definedName>
    <definedName name="OSRRefE21_0_5x" localSheetId="59">'332'!$J$31:$O$31</definedName>
    <definedName name="OSRRefE21_0_5x" localSheetId="73">'405'!$J$31:$O$31</definedName>
    <definedName name="OSRRefE21_0_5x" localSheetId="75">'411'!$J$24:$O$24</definedName>
    <definedName name="OSRRefE21_0_5x" localSheetId="79">'415'!$J$31:$O$31</definedName>
    <definedName name="OSRRefE21_0_5x" localSheetId="80">'418'!$J$28:$O$28</definedName>
    <definedName name="OSRRefE21_0_5x" localSheetId="81">'423'!$J$24:$O$24</definedName>
    <definedName name="OSRRefE21_0_5x" localSheetId="86">'430'!$J$24:$O$24</definedName>
    <definedName name="OSRRefE21_0_5x" localSheetId="87">'433'!$J$31:$O$31</definedName>
    <definedName name="OSRRefE21_0_5x" localSheetId="88">'444'!$J$31:$O$31</definedName>
    <definedName name="OSRRefE21_0_5x" localSheetId="89">'450'!$J$31:$O$31</definedName>
    <definedName name="OSRRefE21_0_5x" localSheetId="72">'491'!$J$32:$O$32</definedName>
    <definedName name="OSRRefE21_0_5x" localSheetId="85">'492'!$J$31:$O$31</definedName>
    <definedName name="OSRRefE21_0_5x" localSheetId="91">'501'!$J$25:$O$25</definedName>
    <definedName name="OSRRefE21_0_5x" localSheetId="39">'Div 2'!$J$24:$O$24</definedName>
    <definedName name="OSRRefE21_0_5x" localSheetId="47">'Div 3'!$J$62:$O$62</definedName>
    <definedName name="OSRRefE21_0_5x" localSheetId="70">'Div 4'!$J$33:$O$33</definedName>
    <definedName name="OSRRefE21_0_5x" localSheetId="90">'Div 5'!$J$25:$O$25</definedName>
    <definedName name="OSRRefE21_0_5x" localSheetId="61">'Div 6'!$J$39:$O$39</definedName>
    <definedName name="OSRRefE21_0_5x" localSheetId="2">Summary!$J$70:$O$70</definedName>
    <definedName name="OSRRefE21_0_6x" localSheetId="41">'201'!$J$25:$O$25</definedName>
    <definedName name="OSRRefE21_0_6x" localSheetId="42">'202'!$J$25:$O$25</definedName>
    <definedName name="OSRRefE21_0_6x" localSheetId="43">'203'!$J$25:$O$25</definedName>
    <definedName name="OSRRefE21_0_6x" localSheetId="44">'204'!$J$25:$O$25</definedName>
    <definedName name="OSRRefE21_0_6x" localSheetId="45">'205'!$J$25:$O$25</definedName>
    <definedName name="OSRRefE21_0_6x" localSheetId="46">'206'!$J$25:$O$25</definedName>
    <definedName name="OSRRefE21_0_6x" localSheetId="48">'300'!$J$59:$O$59</definedName>
    <definedName name="OSRRefE21_0_6x" localSheetId="49">'300 &amp; 317'!$J$65:$O$65</definedName>
    <definedName name="OSRRefE21_0_6x" localSheetId="50">'301'!$J$26:$O$26</definedName>
    <definedName name="OSRRefE21_0_6x" localSheetId="52">'307'!$J$39:$O$39</definedName>
    <definedName name="OSRRefE21_0_6x" localSheetId="53">'308'!$J$40:$O$40</definedName>
    <definedName name="OSRRefE21_0_6x" localSheetId="63">'310'!$J$32:$O$32</definedName>
    <definedName name="OSRRefE21_0_6x" localSheetId="71">'310 &amp; 491'!$J$34:$O$34</definedName>
    <definedName name="OSRRefE21_0_6x" localSheetId="54">'311'!$J$40:$O$40</definedName>
    <definedName name="OSRRefE21_0_6x" localSheetId="57">'315'!$J$49:$O$49</definedName>
    <definedName name="OSRRefE21_0_6x" localSheetId="60">'316'!$J$32:$O$32</definedName>
    <definedName name="OSRRefE21_0_6x" localSheetId="62">'317'!$J$40:$O$40</definedName>
    <definedName name="OSRRefE21_0_6x" localSheetId="66">'321'!$J$29:$O$29</definedName>
    <definedName name="OSRRefE21_0_6x" localSheetId="68">'325'!$J$30:$O$30</definedName>
    <definedName name="OSRRefE21_0_6x" localSheetId="58">'326'!$J$33:$O$33</definedName>
    <definedName name="OSRRefE21_0_6x" localSheetId="51">'330'!$J$39:$O$39</definedName>
    <definedName name="OSRRefE21_0_6x" localSheetId="56">'331'!$J$49:$O$49</definedName>
    <definedName name="OSRRefE21_0_6x" localSheetId="59">'332'!$J$32:$O$32</definedName>
    <definedName name="OSRRefE21_0_6x" localSheetId="73">'405'!$J$32:$O$32</definedName>
    <definedName name="OSRRefE21_0_6x" localSheetId="75">'411'!$J$25:$O$25</definedName>
    <definedName name="OSRRefE21_0_6x" localSheetId="79">'415'!$J$32:$O$32</definedName>
    <definedName name="OSRRefE21_0_6x" localSheetId="80">'418'!$J$29:$O$29</definedName>
    <definedName name="OSRRefE21_0_6x" localSheetId="81">'423'!$J$25:$O$25</definedName>
    <definedName name="OSRRefE21_0_6x" localSheetId="86">'430'!$J$25:$O$25</definedName>
    <definedName name="OSRRefE21_0_6x" localSheetId="87">'433'!$J$32:$O$32</definedName>
    <definedName name="OSRRefE21_0_6x" localSheetId="88">'444'!$J$32:$O$32</definedName>
    <definedName name="OSRRefE21_0_6x" localSheetId="89">'450'!$J$32:$O$32</definedName>
    <definedName name="OSRRefE21_0_6x" localSheetId="72">'491'!$J$33:$O$33</definedName>
    <definedName name="OSRRefE21_0_6x" localSheetId="85">'492'!$J$32:$O$32</definedName>
    <definedName name="OSRRefE21_0_6x" localSheetId="91">'501'!$J$26:$O$26</definedName>
    <definedName name="OSRRefE21_0_6x" localSheetId="39">'Div 2'!$J$25:$O$25</definedName>
    <definedName name="OSRRefE21_0_6x" localSheetId="47">'Div 3'!$J$63:$O$63</definedName>
    <definedName name="OSRRefE21_0_6x" localSheetId="70">'Div 4'!$J$34:$O$34</definedName>
    <definedName name="OSRRefE21_0_6x" localSheetId="90">'Div 5'!$J$26:$O$26</definedName>
    <definedName name="OSRRefE21_0_6x" localSheetId="61">'Div 6'!$J$40:$O$40</definedName>
    <definedName name="OSRRefE21_0_6x" localSheetId="2">Summary!$J$71:$O$71</definedName>
    <definedName name="OSRRefE21_0_7x" localSheetId="41">'201'!$J$26:$O$26</definedName>
    <definedName name="OSRRefE21_0_7x" localSheetId="42">'202'!$J$26:$O$26</definedName>
    <definedName name="OSRRefE21_0_7x" localSheetId="43">'203'!$J$26:$O$26</definedName>
    <definedName name="OSRRefE21_0_7x" localSheetId="44">'204'!$J$26:$O$26</definedName>
    <definedName name="OSRRefE21_0_7x" localSheetId="45">'205'!$J$26:$O$26</definedName>
    <definedName name="OSRRefE21_0_7x" localSheetId="46">'206'!$J$26:$O$26</definedName>
    <definedName name="OSRRefE21_0_7x" localSheetId="48">'300'!$J$60:$O$60</definedName>
    <definedName name="OSRRefE21_0_7x" localSheetId="49">'300 &amp; 317'!$J$66:$O$66</definedName>
    <definedName name="OSRRefE21_0_7x" localSheetId="50">'301'!$J$27:$O$27</definedName>
    <definedName name="OSRRefE21_0_7x" localSheetId="52">'307'!$J$40:$O$40</definedName>
    <definedName name="OSRRefE21_0_7x" localSheetId="53">'308'!$J$41:$O$41</definedName>
    <definedName name="OSRRefE21_0_7x" localSheetId="63">'310'!$J$33:$O$33</definedName>
    <definedName name="OSRRefE21_0_7x" localSheetId="71">'310 &amp; 491'!$J$35:$O$35</definedName>
    <definedName name="OSRRefE21_0_7x" localSheetId="54">'311'!$J$41:$O$41</definedName>
    <definedName name="OSRRefE21_0_7x" localSheetId="57">'315'!$J$50:$O$50</definedName>
    <definedName name="OSRRefE21_0_7x" localSheetId="60">'316'!$J$33:$O$33</definedName>
    <definedName name="OSRRefE21_0_7x" localSheetId="62">'317'!$J$41:$O$41</definedName>
    <definedName name="OSRRefE21_0_7x" localSheetId="66">'321'!$J$30:$O$30</definedName>
    <definedName name="OSRRefE21_0_7x" localSheetId="68">'325'!$J$31:$O$31</definedName>
    <definedName name="OSRRefE21_0_7x" localSheetId="58">'326'!$J$34:$O$34</definedName>
    <definedName name="OSRRefE21_0_7x" localSheetId="51">'330'!$J$40:$O$40</definedName>
    <definedName name="OSRRefE21_0_7x" localSheetId="56">'331'!$J$50:$O$50</definedName>
    <definedName name="OSRRefE21_0_7x" localSheetId="59">'332'!$J$33:$O$33</definedName>
    <definedName name="OSRRefE21_0_7x" localSheetId="73">'405'!$J$33:$O$33</definedName>
    <definedName name="OSRRefE21_0_7x" localSheetId="75">'411'!$J$26:$O$26</definedName>
    <definedName name="OSRRefE21_0_7x" localSheetId="79">'415'!$J$33:$O$33</definedName>
    <definedName name="OSRRefE21_0_7x" localSheetId="80">'418'!$J$30:$O$30</definedName>
    <definedName name="OSRRefE21_0_7x" localSheetId="81">'423'!$J$26:$O$26</definedName>
    <definedName name="OSRRefE21_0_7x" localSheetId="86">'430'!$J$26:$O$26</definedName>
    <definedName name="OSRRefE21_0_7x" localSheetId="87">'433'!$J$33:$O$33</definedName>
    <definedName name="OSRRefE21_0_7x" localSheetId="88">'444'!$J$33:$O$33</definedName>
    <definedName name="OSRRefE21_0_7x" localSheetId="89">'450'!$J$33:$O$33</definedName>
    <definedName name="OSRRefE21_0_7x" localSheetId="72">'491'!$J$34:$O$34</definedName>
    <definedName name="OSRRefE21_0_7x" localSheetId="85">'492'!$J$33:$O$33</definedName>
    <definedName name="OSRRefE21_0_7x" localSheetId="91">'501'!$J$27:$O$27</definedName>
    <definedName name="OSRRefE21_0_7x" localSheetId="39">'Div 2'!$J$26:$O$26</definedName>
    <definedName name="OSRRefE21_0_7x" localSheetId="47">'Div 3'!$J$64:$O$64</definedName>
    <definedName name="OSRRefE21_0_7x" localSheetId="70">'Div 4'!$J$35:$O$35</definedName>
    <definedName name="OSRRefE21_0_7x" localSheetId="90">'Div 5'!$J$27:$O$27</definedName>
    <definedName name="OSRRefE21_0_7x" localSheetId="61">'Div 6'!$J$41:$O$41</definedName>
    <definedName name="OSRRefE21_0_7x" localSheetId="2">Summary!$J$72:$O$72</definedName>
    <definedName name="OSRRefE21_0_8x" localSheetId="41">'201'!$J$27:$O$27</definedName>
    <definedName name="OSRRefE21_0_8x" localSheetId="42">'202'!$J$27:$O$27</definedName>
    <definedName name="OSRRefE21_0_8x" localSheetId="43">'203'!$J$27:$O$27</definedName>
    <definedName name="OSRRefE21_0_8x" localSheetId="44">'204'!$J$27:$O$27</definedName>
    <definedName name="OSRRefE21_0_8x" localSheetId="45">'205'!$J$27:$O$27</definedName>
    <definedName name="OSRRefE21_0_8x" localSheetId="46">'206'!$J$27:$O$27</definedName>
    <definedName name="OSRRefE21_0_8x" localSheetId="48">'300'!$J$61:$O$61</definedName>
    <definedName name="OSRRefE21_0_8x" localSheetId="49">'300 &amp; 317'!$J$67:$O$67</definedName>
    <definedName name="OSRRefE21_0_8x" localSheetId="50">'301'!$J$28:$O$28</definedName>
    <definedName name="OSRRefE21_0_8x" localSheetId="53">'308'!$J$42:$O$42</definedName>
    <definedName name="OSRRefE21_0_8x" localSheetId="63">'310'!$J$34:$O$34</definedName>
    <definedName name="OSRRefE21_0_8x" localSheetId="71">'310 &amp; 491'!$J$36:$O$36</definedName>
    <definedName name="OSRRefE21_0_8x" localSheetId="54">'311'!$J$42:$O$42</definedName>
    <definedName name="OSRRefE21_0_8x" localSheetId="57">'315'!$J$51:$O$51</definedName>
    <definedName name="OSRRefE21_0_8x" localSheetId="60">'316'!$J$34:$O$34</definedName>
    <definedName name="OSRRefE21_0_8x" localSheetId="62">'317'!$J$42:$O$42</definedName>
    <definedName name="OSRRefE21_0_8x" localSheetId="66">'321'!$J$31:$O$31</definedName>
    <definedName name="OSRRefE21_0_8x" localSheetId="68">'325'!$J$32:$O$32</definedName>
    <definedName name="OSRRefE21_0_8x" localSheetId="58">'326'!$J$35:$O$35</definedName>
    <definedName name="OSRRefE21_0_8x" localSheetId="56">'331'!$J$51:$O$51</definedName>
    <definedName name="OSRRefE21_0_8x" localSheetId="59">'332'!$J$34:$O$34</definedName>
    <definedName name="OSRRefE21_0_8x" localSheetId="73">'405'!$J$34:$O$34</definedName>
    <definedName name="OSRRefE21_0_8x" localSheetId="75">'411'!$J$27:$O$27</definedName>
    <definedName name="OSRRefE21_0_8x" localSheetId="79">'415'!$J$34:$O$34</definedName>
    <definedName name="OSRRefE21_0_8x" localSheetId="80">'418'!$J$31:$O$31</definedName>
    <definedName name="OSRRefE21_0_8x" localSheetId="86">'430'!$J$27:$O$27</definedName>
    <definedName name="OSRRefE21_0_8x" localSheetId="87">'433'!$J$34:$O$34</definedName>
    <definedName name="OSRRefE21_0_8x" localSheetId="88">'444'!$J$34:$O$34</definedName>
    <definedName name="OSRRefE21_0_8x" localSheetId="89">'450'!$J$34:$O$34</definedName>
    <definedName name="OSRRefE21_0_8x" localSheetId="72">'491'!$J$35:$O$35</definedName>
    <definedName name="OSRRefE21_0_8x" localSheetId="85">'492'!$J$34:$O$34</definedName>
    <definedName name="OSRRefE21_0_8x" localSheetId="91">'501'!$J$28:$O$28</definedName>
    <definedName name="OSRRefE21_0_8x" localSheetId="39">'Div 2'!$J$27:$O$27</definedName>
    <definedName name="OSRRefE21_0_8x" localSheetId="47">'Div 3'!$J$65:$O$65</definedName>
    <definedName name="OSRRefE21_0_8x" localSheetId="70">'Div 4'!$J$36:$O$36</definedName>
    <definedName name="OSRRefE21_0_8x" localSheetId="90">'Div 5'!$J$28:$O$28</definedName>
    <definedName name="OSRRefE21_0_8x" localSheetId="61">'Div 6'!$J$42:$O$42</definedName>
    <definedName name="OSRRefE21_0_8x" localSheetId="2">Summary!$J$73:$O$73</definedName>
    <definedName name="OSRRefE21_0_9x" localSheetId="43">'203'!$J$28:$O$28</definedName>
    <definedName name="OSRRefE21_0_9x" localSheetId="48">'300'!$J$62:$O$62</definedName>
    <definedName name="OSRRefE21_0_9x" localSheetId="49">'300 &amp; 317'!$J$68:$O$68</definedName>
    <definedName name="OSRRefE21_0_9x" localSheetId="50">'301'!$J$29:$O$29</definedName>
    <definedName name="OSRRefE21_0_9x" localSheetId="53">'308'!$J$43:$O$43</definedName>
    <definedName name="OSRRefE21_0_9x" localSheetId="54">'311'!$J$43:$O$43</definedName>
    <definedName name="OSRRefE21_0_9x" localSheetId="62">'317'!$J$43:$O$43</definedName>
    <definedName name="OSRRefE21_0_9x" localSheetId="87">'433'!$J$35:$O$35</definedName>
    <definedName name="OSRRefE21_0_9x" localSheetId="88">'444'!$J$35:$O$35</definedName>
    <definedName name="OSRRefE21_0_9x" localSheetId="89">'450'!$J$35:$O$35</definedName>
    <definedName name="OSRRefE21_0_9x" localSheetId="85">'492'!$J$35:$O$35</definedName>
    <definedName name="OSRRefE21_0_9x" localSheetId="91">'501'!$J$29:$O$29</definedName>
    <definedName name="OSRRefE21_0_9x" localSheetId="39">'Div 2'!$J$28:$O$28</definedName>
    <definedName name="OSRRefE21_0_9x" localSheetId="47">'Div 3'!$J$66:$O$66</definedName>
    <definedName name="OSRRefE21_0_9x" localSheetId="70">'Div 4'!$J$37:$O$37</definedName>
    <definedName name="OSRRefE21_0_9x" localSheetId="90">'Div 5'!$J$29:$O$29</definedName>
    <definedName name="OSRRefE21_0_9x" localSheetId="61">'Div 6'!$J$43:$O$43</definedName>
    <definedName name="OSRRefE21_0_9x" localSheetId="2">Summary!$J$74:$O$74</definedName>
    <definedName name="OSRRefE21_0x_0" localSheetId="40">'200'!$J$19</definedName>
    <definedName name="OSRRefE21_0x_0" localSheetId="41">'201'!$J$19:$J$27</definedName>
    <definedName name="OSRRefE21_0x_0" localSheetId="42">'202'!$J$19:$J$27</definedName>
    <definedName name="OSRRefE21_0x_0" localSheetId="43">'203'!$J$19:$J$28</definedName>
    <definedName name="OSRRefE21_0x_0" localSheetId="44">'204'!$J$19:$J$27</definedName>
    <definedName name="OSRRefE21_0x_0" localSheetId="45">'205'!$J$19:$J$27</definedName>
    <definedName name="OSRRefE21_0x_0" localSheetId="46">'206'!$J$19:$J$27</definedName>
    <definedName name="OSRRefE21_0x_0" localSheetId="48">'300'!$J$53:$J$62</definedName>
    <definedName name="OSRRefE21_0x_0" localSheetId="49">'300 &amp; 317'!$J$59:$J$68</definedName>
    <definedName name="OSRRefE21_0x_0" localSheetId="50">'301'!$J$20:$J$29</definedName>
    <definedName name="OSRRefE21_0x_0" localSheetId="52">'307'!$J$33:$J$40</definedName>
    <definedName name="OSRRefE21_0x_0" localSheetId="53">'308'!$J$34:$J$43</definedName>
    <definedName name="OSRRefE21_0x_0" localSheetId="64">'309'!$J$19</definedName>
    <definedName name="OSRRefE21_0x_0" localSheetId="63">'310'!$J$26:$J$34</definedName>
    <definedName name="OSRRefE21_0x_0" localSheetId="71">'310 &amp; 491'!$J$28:$J$36</definedName>
    <definedName name="OSRRefE21_0x_0" localSheetId="54">'311'!$J$34:$J$43</definedName>
    <definedName name="OSRRefE21_0x_0" localSheetId="65">'313'!$J$19</definedName>
    <definedName name="OSRRefE21_0x_0" localSheetId="57">'315'!$J$43:$J$51</definedName>
    <definedName name="OSRRefE21_0x_0" localSheetId="60">'316'!$J$26:$J$34</definedName>
    <definedName name="OSRRefE21_0x_0" localSheetId="62">'317'!$J$34:$J$43</definedName>
    <definedName name="OSRRefE21_0x_0" localSheetId="66">'321'!$J$23:$J$31</definedName>
    <definedName name="OSRRefE21_0x_0" localSheetId="67">'322'!$J$19</definedName>
    <definedName name="OSRRefE21_0x_0" localSheetId="68">'325'!$J$24:$J$32</definedName>
    <definedName name="OSRRefE21_0x_0" localSheetId="58">'326'!$J$27:$J$35</definedName>
    <definedName name="OSRRefE21_0x_0" localSheetId="69">'327'!$J$25</definedName>
    <definedName name="OSRRefE21_0x_0" localSheetId="51">'330'!$J$33:$J$40</definedName>
    <definedName name="OSRRefE21_0x_0" localSheetId="56">'331'!$J$43:$J$51</definedName>
    <definedName name="OSRRefE21_0x_0" localSheetId="59">'332'!$J$26:$J$34</definedName>
    <definedName name="OSRRefE21_0x_0" localSheetId="73">'405'!$J$26:$J$34</definedName>
    <definedName name="OSRRefE21_0x_0" localSheetId="74">'406'!$J$19</definedName>
    <definedName name="OSRRefE21_0x_0" localSheetId="75">'411'!$J$19:$J$27</definedName>
    <definedName name="OSRRefE21_0x_0" localSheetId="76">'412'!$J$19</definedName>
    <definedName name="OSRRefE21_0x_0" localSheetId="77">'413'!$J$19</definedName>
    <definedName name="OSRRefE21_0x_0" localSheetId="78">'414'!$J$19</definedName>
    <definedName name="OSRRefE21_0x_0" localSheetId="79">'415'!$J$26:$J$34</definedName>
    <definedName name="OSRRefE21_0x_0" localSheetId="80">'418'!$J$23:$J$31</definedName>
    <definedName name="OSRRefE21_0x_0" localSheetId="81">'423'!$J$19:$J$26</definedName>
    <definedName name="OSRRefE21_0x_0" localSheetId="82">'424'!$J$19</definedName>
    <definedName name="OSRRefE21_0x_0" localSheetId="84">'425'!$J$21</definedName>
    <definedName name="OSRRefE21_0x_0" localSheetId="86">'430'!$J$19:$J$27</definedName>
    <definedName name="OSRRefE21_0x_0" localSheetId="87">'433'!$J$26:$J$35</definedName>
    <definedName name="OSRRefE21_0x_0" localSheetId="88">'444'!$J$26:$J$35</definedName>
    <definedName name="OSRRefE21_0x_0" localSheetId="89">'450'!$J$26:$J$35</definedName>
    <definedName name="OSRRefE21_0x_0" localSheetId="72">'491'!$J$27:$J$35</definedName>
    <definedName name="OSRRefE21_0x_0" localSheetId="85">'492'!$J$26:$J$35</definedName>
    <definedName name="OSRRefE21_0x_0" localSheetId="91">'501'!$J$20:$J$29</definedName>
    <definedName name="OSRRefE21_0x_0" localSheetId="39">'Div 2'!$J$19:$J$29</definedName>
    <definedName name="OSRRefE21_0x_0" localSheetId="47">'Div 3'!$J$57:$J$66</definedName>
    <definedName name="OSRRefE21_0x_0" localSheetId="70">'Div 4'!$J$28:$J$37</definedName>
    <definedName name="OSRRefE21_0x_0" localSheetId="90">'Div 5'!$J$20:$J$29</definedName>
    <definedName name="OSRRefE21_0x_0" localSheetId="61">'Div 6'!$J$34:$J$43</definedName>
    <definedName name="OSRRefE21_0x_0" localSheetId="2">Summary!$J$65:$J$74</definedName>
    <definedName name="OSRRefE21_0x_1" localSheetId="40">'200'!$K$19</definedName>
    <definedName name="OSRRefE21_0x_1" localSheetId="41">'201'!$K$19:$K$27</definedName>
    <definedName name="OSRRefE21_0x_1" localSheetId="42">'202'!$K$19:$K$27</definedName>
    <definedName name="OSRRefE21_0x_1" localSheetId="43">'203'!$K$19:$K$28</definedName>
    <definedName name="OSRRefE21_0x_1" localSheetId="44">'204'!$K$19:$K$27</definedName>
    <definedName name="OSRRefE21_0x_1" localSheetId="45">'205'!$K$19:$K$27</definedName>
    <definedName name="OSRRefE21_0x_1" localSheetId="46">'206'!$K$19:$K$27</definedName>
    <definedName name="OSRRefE21_0x_1" localSheetId="48">'300'!$K$53:$K$62</definedName>
    <definedName name="OSRRefE21_0x_1" localSheetId="49">'300 &amp; 317'!$K$59:$K$68</definedName>
    <definedName name="OSRRefE21_0x_1" localSheetId="50">'301'!$K$20:$K$29</definedName>
    <definedName name="OSRRefE21_0x_1" localSheetId="52">'307'!$K$33:$K$40</definedName>
    <definedName name="OSRRefE21_0x_1" localSheetId="53">'308'!$K$34:$K$43</definedName>
    <definedName name="OSRRefE21_0x_1" localSheetId="64">'309'!$K$19</definedName>
    <definedName name="OSRRefE21_0x_1" localSheetId="63">'310'!$K$26:$K$34</definedName>
    <definedName name="OSRRefE21_0x_1" localSheetId="71">'310 &amp; 491'!$K$28:$K$36</definedName>
    <definedName name="OSRRefE21_0x_1" localSheetId="54">'311'!$K$34:$K$43</definedName>
    <definedName name="OSRRefE21_0x_1" localSheetId="65">'313'!$K$19</definedName>
    <definedName name="OSRRefE21_0x_1" localSheetId="57">'315'!$K$43:$K$51</definedName>
    <definedName name="OSRRefE21_0x_1" localSheetId="60">'316'!$K$26:$K$34</definedName>
    <definedName name="OSRRefE21_0x_1" localSheetId="62">'317'!$K$34:$K$43</definedName>
    <definedName name="OSRRefE21_0x_1" localSheetId="66">'321'!$K$23:$K$31</definedName>
    <definedName name="OSRRefE21_0x_1" localSheetId="67">'322'!$K$19</definedName>
    <definedName name="OSRRefE21_0x_1" localSheetId="68">'325'!$K$24:$K$32</definedName>
    <definedName name="OSRRefE21_0x_1" localSheetId="58">'326'!$K$27:$K$35</definedName>
    <definedName name="OSRRefE21_0x_1" localSheetId="69">'327'!$K$25</definedName>
    <definedName name="OSRRefE21_0x_1" localSheetId="51">'330'!$K$33:$K$40</definedName>
    <definedName name="OSRRefE21_0x_1" localSheetId="56">'331'!$K$43:$K$51</definedName>
    <definedName name="OSRRefE21_0x_1" localSheetId="59">'332'!$K$26:$K$34</definedName>
    <definedName name="OSRRefE21_0x_1" localSheetId="73">'405'!$K$26:$K$34</definedName>
    <definedName name="OSRRefE21_0x_1" localSheetId="74">'406'!$K$19</definedName>
    <definedName name="OSRRefE21_0x_1" localSheetId="75">'411'!$K$19:$K$27</definedName>
    <definedName name="OSRRefE21_0x_1" localSheetId="76">'412'!$K$19</definedName>
    <definedName name="OSRRefE21_0x_1" localSheetId="77">'413'!$K$19</definedName>
    <definedName name="OSRRefE21_0x_1" localSheetId="78">'414'!$K$19</definedName>
    <definedName name="OSRRefE21_0x_1" localSheetId="79">'415'!$K$26:$K$34</definedName>
    <definedName name="OSRRefE21_0x_1" localSheetId="80">'418'!$K$23:$K$31</definedName>
    <definedName name="OSRRefE21_0x_1" localSheetId="81">'423'!$K$19:$K$26</definedName>
    <definedName name="OSRRefE21_0x_1" localSheetId="82">'424'!$K$19</definedName>
    <definedName name="OSRRefE21_0x_1" localSheetId="84">'425'!$K$21</definedName>
    <definedName name="OSRRefE21_0x_1" localSheetId="86">'430'!$K$19:$K$27</definedName>
    <definedName name="OSRRefE21_0x_1" localSheetId="87">'433'!$K$26:$K$35</definedName>
    <definedName name="OSRRefE21_0x_1" localSheetId="88">'444'!$K$26:$K$35</definedName>
    <definedName name="OSRRefE21_0x_1" localSheetId="89">'450'!$K$26:$K$35</definedName>
    <definedName name="OSRRefE21_0x_1" localSheetId="72">'491'!$K$27:$K$35</definedName>
    <definedName name="OSRRefE21_0x_1" localSheetId="85">'492'!$K$26:$K$35</definedName>
    <definedName name="OSRRefE21_0x_1" localSheetId="91">'501'!$K$20:$K$29</definedName>
    <definedName name="OSRRefE21_0x_1" localSheetId="39">'Div 2'!$K$19:$K$29</definedName>
    <definedName name="OSRRefE21_0x_1" localSheetId="47">'Div 3'!$K$57:$K$66</definedName>
    <definedName name="OSRRefE21_0x_1" localSheetId="70">'Div 4'!$K$28:$K$37</definedName>
    <definedName name="OSRRefE21_0x_1" localSheetId="90">'Div 5'!$K$20:$K$29</definedName>
    <definedName name="OSRRefE21_0x_1" localSheetId="61">'Div 6'!$K$34:$K$43</definedName>
    <definedName name="OSRRefE21_0x_1" localSheetId="2">Summary!$K$65:$K$74</definedName>
    <definedName name="OSRRefE21_0x_2" localSheetId="40">'200'!$L$19</definedName>
    <definedName name="OSRRefE21_0x_2" localSheetId="41">'201'!$L$19:$L$27</definedName>
    <definedName name="OSRRefE21_0x_2" localSheetId="42">'202'!$L$19:$L$27</definedName>
    <definedName name="OSRRefE21_0x_2" localSheetId="43">'203'!$L$19:$L$28</definedName>
    <definedName name="OSRRefE21_0x_2" localSheetId="44">'204'!$L$19:$L$27</definedName>
    <definedName name="OSRRefE21_0x_2" localSheetId="45">'205'!$L$19:$L$27</definedName>
    <definedName name="OSRRefE21_0x_2" localSheetId="46">'206'!$L$19:$L$27</definedName>
    <definedName name="OSRRefE21_0x_2" localSheetId="48">'300'!$L$53:$L$62</definedName>
    <definedName name="OSRRefE21_0x_2" localSheetId="49">'300 &amp; 317'!$L$59:$L$68</definedName>
    <definedName name="OSRRefE21_0x_2" localSheetId="50">'301'!$L$20:$L$29</definedName>
    <definedName name="OSRRefE21_0x_2" localSheetId="52">'307'!$L$33:$L$40</definedName>
    <definedName name="OSRRefE21_0x_2" localSheetId="53">'308'!$L$34:$L$43</definedName>
    <definedName name="OSRRefE21_0x_2" localSheetId="64">'309'!$L$19</definedName>
    <definedName name="OSRRefE21_0x_2" localSheetId="63">'310'!$L$26:$L$34</definedName>
    <definedName name="OSRRefE21_0x_2" localSheetId="71">'310 &amp; 491'!$L$28:$L$36</definedName>
    <definedName name="OSRRefE21_0x_2" localSheetId="54">'311'!$L$34:$L$43</definedName>
    <definedName name="OSRRefE21_0x_2" localSheetId="65">'313'!$L$19</definedName>
    <definedName name="OSRRefE21_0x_2" localSheetId="57">'315'!$L$43:$L$51</definedName>
    <definedName name="OSRRefE21_0x_2" localSheetId="60">'316'!$L$26:$L$34</definedName>
    <definedName name="OSRRefE21_0x_2" localSheetId="62">'317'!$L$34:$L$43</definedName>
    <definedName name="OSRRefE21_0x_2" localSheetId="66">'321'!$L$23:$L$31</definedName>
    <definedName name="OSRRefE21_0x_2" localSheetId="67">'322'!$L$19</definedName>
    <definedName name="OSRRefE21_0x_2" localSheetId="68">'325'!$L$24:$L$32</definedName>
    <definedName name="OSRRefE21_0x_2" localSheetId="58">'326'!$L$27:$L$35</definedName>
    <definedName name="OSRRefE21_0x_2" localSheetId="69">'327'!$L$25</definedName>
    <definedName name="OSRRefE21_0x_2" localSheetId="51">'330'!$L$33:$L$40</definedName>
    <definedName name="OSRRefE21_0x_2" localSheetId="56">'331'!$L$43:$L$51</definedName>
    <definedName name="OSRRefE21_0x_2" localSheetId="59">'332'!$L$26:$L$34</definedName>
    <definedName name="OSRRefE21_0x_2" localSheetId="73">'405'!$L$26:$L$34</definedName>
    <definedName name="OSRRefE21_0x_2" localSheetId="74">'406'!$L$19</definedName>
    <definedName name="OSRRefE21_0x_2" localSheetId="75">'411'!$L$19:$L$27</definedName>
    <definedName name="OSRRefE21_0x_2" localSheetId="76">'412'!$L$19</definedName>
    <definedName name="OSRRefE21_0x_2" localSheetId="77">'413'!$L$19</definedName>
    <definedName name="OSRRefE21_0x_2" localSheetId="78">'414'!$L$19</definedName>
    <definedName name="OSRRefE21_0x_2" localSheetId="79">'415'!$L$26:$L$34</definedName>
    <definedName name="OSRRefE21_0x_2" localSheetId="80">'418'!$L$23:$L$31</definedName>
    <definedName name="OSRRefE21_0x_2" localSheetId="81">'423'!$L$19:$L$26</definedName>
    <definedName name="OSRRefE21_0x_2" localSheetId="82">'424'!$L$19</definedName>
    <definedName name="OSRRefE21_0x_2" localSheetId="84">'425'!$L$21</definedName>
    <definedName name="OSRRefE21_0x_2" localSheetId="86">'430'!$L$19:$L$27</definedName>
    <definedName name="OSRRefE21_0x_2" localSheetId="87">'433'!$L$26:$L$35</definedName>
    <definedName name="OSRRefE21_0x_2" localSheetId="88">'444'!$L$26:$L$35</definedName>
    <definedName name="OSRRefE21_0x_2" localSheetId="89">'450'!$L$26:$L$35</definedName>
    <definedName name="OSRRefE21_0x_2" localSheetId="72">'491'!$L$27:$L$35</definedName>
    <definedName name="OSRRefE21_0x_2" localSheetId="85">'492'!$L$26:$L$35</definedName>
    <definedName name="OSRRefE21_0x_2" localSheetId="91">'501'!$L$20:$L$29</definedName>
    <definedName name="OSRRefE21_0x_2" localSheetId="39">'Div 2'!$L$19:$L$29</definedName>
    <definedName name="OSRRefE21_0x_2" localSheetId="47">'Div 3'!$L$57:$L$66</definedName>
    <definedName name="OSRRefE21_0x_2" localSheetId="70">'Div 4'!$L$28:$L$37</definedName>
    <definedName name="OSRRefE21_0x_2" localSheetId="90">'Div 5'!$L$20:$L$29</definedName>
    <definedName name="OSRRefE21_0x_2" localSheetId="61">'Div 6'!$L$34:$L$43</definedName>
    <definedName name="OSRRefE21_0x_2" localSheetId="2">Summary!$L$65:$L$74</definedName>
    <definedName name="OSRRefE21_0x_3" localSheetId="40">'200'!$M$19</definedName>
    <definedName name="OSRRefE21_0x_3" localSheetId="41">'201'!$M$19:$M$27</definedName>
    <definedName name="OSRRefE21_0x_3" localSheetId="42">'202'!$M$19:$M$27</definedName>
    <definedName name="OSRRefE21_0x_3" localSheetId="43">'203'!$M$19:$M$28</definedName>
    <definedName name="OSRRefE21_0x_3" localSheetId="44">'204'!$M$19:$M$27</definedName>
    <definedName name="OSRRefE21_0x_3" localSheetId="45">'205'!$M$19:$M$27</definedName>
    <definedName name="OSRRefE21_0x_3" localSheetId="46">'206'!$M$19:$M$27</definedName>
    <definedName name="OSRRefE21_0x_3" localSheetId="48">'300'!$M$53:$M$62</definedName>
    <definedName name="OSRRefE21_0x_3" localSheetId="49">'300 &amp; 317'!$M$59:$M$68</definedName>
    <definedName name="OSRRefE21_0x_3" localSheetId="50">'301'!$M$20:$M$29</definedName>
    <definedName name="OSRRefE21_0x_3" localSheetId="52">'307'!$M$33:$M$40</definedName>
    <definedName name="OSRRefE21_0x_3" localSheetId="53">'308'!$M$34:$M$43</definedName>
    <definedName name="OSRRefE21_0x_3" localSheetId="64">'309'!$M$19</definedName>
    <definedName name="OSRRefE21_0x_3" localSheetId="63">'310'!$M$26:$M$34</definedName>
    <definedName name="OSRRefE21_0x_3" localSheetId="71">'310 &amp; 491'!$M$28:$M$36</definedName>
    <definedName name="OSRRefE21_0x_3" localSheetId="54">'311'!$M$34:$M$43</definedName>
    <definedName name="OSRRefE21_0x_3" localSheetId="65">'313'!$M$19</definedName>
    <definedName name="OSRRefE21_0x_3" localSheetId="57">'315'!$M$43:$M$51</definedName>
    <definedName name="OSRRefE21_0x_3" localSheetId="60">'316'!$M$26:$M$34</definedName>
    <definedName name="OSRRefE21_0x_3" localSheetId="62">'317'!$M$34:$M$43</definedName>
    <definedName name="OSRRefE21_0x_3" localSheetId="66">'321'!$M$23:$M$31</definedName>
    <definedName name="OSRRefE21_0x_3" localSheetId="67">'322'!$M$19</definedName>
    <definedName name="OSRRefE21_0x_3" localSheetId="68">'325'!$M$24:$M$32</definedName>
    <definedName name="OSRRefE21_0x_3" localSheetId="58">'326'!$M$27:$M$35</definedName>
    <definedName name="OSRRefE21_0x_3" localSheetId="69">'327'!$M$25</definedName>
    <definedName name="OSRRefE21_0x_3" localSheetId="51">'330'!$M$33:$M$40</definedName>
    <definedName name="OSRRefE21_0x_3" localSheetId="56">'331'!$M$43:$M$51</definedName>
    <definedName name="OSRRefE21_0x_3" localSheetId="59">'332'!$M$26:$M$34</definedName>
    <definedName name="OSRRefE21_0x_3" localSheetId="73">'405'!$M$26:$M$34</definedName>
    <definedName name="OSRRefE21_0x_3" localSheetId="74">'406'!$M$19</definedName>
    <definedName name="OSRRefE21_0x_3" localSheetId="75">'411'!$M$19:$M$27</definedName>
    <definedName name="OSRRefE21_0x_3" localSheetId="76">'412'!$M$19</definedName>
    <definedName name="OSRRefE21_0x_3" localSheetId="77">'413'!$M$19</definedName>
    <definedName name="OSRRefE21_0x_3" localSheetId="78">'414'!$M$19</definedName>
    <definedName name="OSRRefE21_0x_3" localSheetId="79">'415'!$M$26:$M$34</definedName>
    <definedName name="OSRRefE21_0x_3" localSheetId="80">'418'!$M$23:$M$31</definedName>
    <definedName name="OSRRefE21_0x_3" localSheetId="81">'423'!$M$19:$M$26</definedName>
    <definedName name="OSRRefE21_0x_3" localSheetId="82">'424'!$M$19</definedName>
    <definedName name="OSRRefE21_0x_3" localSheetId="84">'425'!$M$21</definedName>
    <definedName name="OSRRefE21_0x_3" localSheetId="86">'430'!$M$19:$M$27</definedName>
    <definedName name="OSRRefE21_0x_3" localSheetId="87">'433'!$M$26:$M$35</definedName>
    <definedName name="OSRRefE21_0x_3" localSheetId="88">'444'!$M$26:$M$35</definedName>
    <definedName name="OSRRefE21_0x_3" localSheetId="89">'450'!$M$26:$M$35</definedName>
    <definedName name="OSRRefE21_0x_3" localSheetId="72">'491'!$M$27:$M$35</definedName>
    <definedName name="OSRRefE21_0x_3" localSheetId="85">'492'!$M$26:$M$35</definedName>
    <definedName name="OSRRefE21_0x_3" localSheetId="91">'501'!$M$20:$M$29</definedName>
    <definedName name="OSRRefE21_0x_3" localSheetId="39">'Div 2'!$M$19:$M$29</definedName>
    <definedName name="OSRRefE21_0x_3" localSheetId="47">'Div 3'!$M$57:$M$66</definedName>
    <definedName name="OSRRefE21_0x_3" localSheetId="70">'Div 4'!$M$28:$M$37</definedName>
    <definedName name="OSRRefE21_0x_3" localSheetId="90">'Div 5'!$M$20:$M$29</definedName>
    <definedName name="OSRRefE21_0x_3" localSheetId="61">'Div 6'!$M$34:$M$43</definedName>
    <definedName name="OSRRefE21_0x_3" localSheetId="2">Summary!$M$65:$M$74</definedName>
    <definedName name="OSRRefE21_0x_4" localSheetId="40">'200'!$N$19</definedName>
    <definedName name="OSRRefE21_0x_4" localSheetId="41">'201'!$N$19:$N$27</definedName>
    <definedName name="OSRRefE21_0x_4" localSheetId="42">'202'!$N$19:$N$27</definedName>
    <definedName name="OSRRefE21_0x_4" localSheetId="43">'203'!$N$19:$N$28</definedName>
    <definedName name="OSRRefE21_0x_4" localSheetId="44">'204'!$N$19:$N$27</definedName>
    <definedName name="OSRRefE21_0x_4" localSheetId="45">'205'!$N$19:$N$27</definedName>
    <definedName name="OSRRefE21_0x_4" localSheetId="46">'206'!$N$19:$N$27</definedName>
    <definedName name="OSRRefE21_0x_4" localSheetId="48">'300'!$N$53:$N$62</definedName>
    <definedName name="OSRRefE21_0x_4" localSheetId="49">'300 &amp; 317'!$N$59:$N$68</definedName>
    <definedName name="OSRRefE21_0x_4" localSheetId="50">'301'!$N$20:$N$29</definedName>
    <definedName name="OSRRefE21_0x_4" localSheetId="52">'307'!$N$33:$N$40</definedName>
    <definedName name="OSRRefE21_0x_4" localSheetId="53">'308'!$N$34:$N$43</definedName>
    <definedName name="OSRRefE21_0x_4" localSheetId="64">'309'!$N$19</definedName>
    <definedName name="OSRRefE21_0x_4" localSheetId="63">'310'!$N$26:$N$34</definedName>
    <definedName name="OSRRefE21_0x_4" localSheetId="71">'310 &amp; 491'!$N$28:$N$36</definedName>
    <definedName name="OSRRefE21_0x_4" localSheetId="54">'311'!$N$34:$N$43</definedName>
    <definedName name="OSRRefE21_0x_4" localSheetId="65">'313'!$N$19</definedName>
    <definedName name="OSRRefE21_0x_4" localSheetId="57">'315'!$N$43:$N$51</definedName>
    <definedName name="OSRRefE21_0x_4" localSheetId="60">'316'!$N$26:$N$34</definedName>
    <definedName name="OSRRefE21_0x_4" localSheetId="62">'317'!$N$34:$N$43</definedName>
    <definedName name="OSRRefE21_0x_4" localSheetId="66">'321'!$N$23:$N$31</definedName>
    <definedName name="OSRRefE21_0x_4" localSheetId="67">'322'!$N$19</definedName>
    <definedName name="OSRRefE21_0x_4" localSheetId="68">'325'!$N$24:$N$32</definedName>
    <definedName name="OSRRefE21_0x_4" localSheetId="58">'326'!$N$27:$N$35</definedName>
    <definedName name="OSRRefE21_0x_4" localSheetId="69">'327'!$N$25</definedName>
    <definedName name="OSRRefE21_0x_4" localSheetId="51">'330'!$N$33:$N$40</definedName>
    <definedName name="OSRRefE21_0x_4" localSheetId="56">'331'!$N$43:$N$51</definedName>
    <definedName name="OSRRefE21_0x_4" localSheetId="59">'332'!$N$26:$N$34</definedName>
    <definedName name="OSRRefE21_0x_4" localSheetId="73">'405'!$N$26:$N$34</definedName>
    <definedName name="OSRRefE21_0x_4" localSheetId="74">'406'!$N$19</definedName>
    <definedName name="OSRRefE21_0x_4" localSheetId="75">'411'!$N$19:$N$27</definedName>
    <definedName name="OSRRefE21_0x_4" localSheetId="76">'412'!$N$19</definedName>
    <definedName name="OSRRefE21_0x_4" localSheetId="77">'413'!$N$19</definedName>
    <definedName name="OSRRefE21_0x_4" localSheetId="78">'414'!$N$19</definedName>
    <definedName name="OSRRefE21_0x_4" localSheetId="79">'415'!$N$26:$N$34</definedName>
    <definedName name="OSRRefE21_0x_4" localSheetId="80">'418'!$N$23:$N$31</definedName>
    <definedName name="OSRRefE21_0x_4" localSheetId="81">'423'!$N$19:$N$26</definedName>
    <definedName name="OSRRefE21_0x_4" localSheetId="82">'424'!$N$19</definedName>
    <definedName name="OSRRefE21_0x_4" localSheetId="84">'425'!$N$21</definedName>
    <definedName name="OSRRefE21_0x_4" localSheetId="86">'430'!$N$19:$N$27</definedName>
    <definedName name="OSRRefE21_0x_4" localSheetId="87">'433'!$N$26:$N$35</definedName>
    <definedName name="OSRRefE21_0x_4" localSheetId="88">'444'!$N$26:$N$35</definedName>
    <definedName name="OSRRefE21_0x_4" localSheetId="89">'450'!$N$26:$N$35</definedName>
    <definedName name="OSRRefE21_0x_4" localSheetId="72">'491'!$N$27:$N$35</definedName>
    <definedName name="OSRRefE21_0x_4" localSheetId="85">'492'!$N$26:$N$35</definedName>
    <definedName name="OSRRefE21_0x_4" localSheetId="91">'501'!$N$20:$N$29</definedName>
    <definedName name="OSRRefE21_0x_4" localSheetId="39">'Div 2'!$N$19:$N$29</definedName>
    <definedName name="OSRRefE21_0x_4" localSheetId="47">'Div 3'!$N$57:$N$66</definedName>
    <definedName name="OSRRefE21_0x_4" localSheetId="70">'Div 4'!$N$28:$N$37</definedName>
    <definedName name="OSRRefE21_0x_4" localSheetId="90">'Div 5'!$N$20:$N$29</definedName>
    <definedName name="OSRRefE21_0x_4" localSheetId="61">'Div 6'!$N$34:$N$43</definedName>
    <definedName name="OSRRefE21_0x_4" localSheetId="2">Summary!$N$65:$N$74</definedName>
    <definedName name="OSRRefE21_0x_5" localSheetId="40">'200'!$O$19</definedName>
    <definedName name="OSRRefE21_0x_5" localSheetId="41">'201'!$O$19:$O$27</definedName>
    <definedName name="OSRRefE21_0x_5" localSheetId="42">'202'!$O$19:$O$27</definedName>
    <definedName name="OSRRefE21_0x_5" localSheetId="43">'203'!$O$19:$O$28</definedName>
    <definedName name="OSRRefE21_0x_5" localSheetId="44">'204'!$O$19:$O$27</definedName>
    <definedName name="OSRRefE21_0x_5" localSheetId="45">'205'!$O$19:$O$27</definedName>
    <definedName name="OSRRefE21_0x_5" localSheetId="46">'206'!$O$19:$O$27</definedName>
    <definedName name="OSRRefE21_0x_5" localSheetId="48">'300'!$O$53:$O$62</definedName>
    <definedName name="OSRRefE21_0x_5" localSheetId="49">'300 &amp; 317'!$O$59:$O$68</definedName>
    <definedName name="OSRRefE21_0x_5" localSheetId="50">'301'!$O$20:$O$29</definedName>
    <definedName name="OSRRefE21_0x_5" localSheetId="52">'307'!$O$33:$O$40</definedName>
    <definedName name="OSRRefE21_0x_5" localSheetId="53">'308'!$O$34:$O$43</definedName>
    <definedName name="OSRRefE21_0x_5" localSheetId="64">'309'!$O$19</definedName>
    <definedName name="OSRRefE21_0x_5" localSheetId="63">'310'!$O$26:$O$34</definedName>
    <definedName name="OSRRefE21_0x_5" localSheetId="71">'310 &amp; 491'!$O$28:$O$36</definedName>
    <definedName name="OSRRefE21_0x_5" localSheetId="54">'311'!$O$34:$O$43</definedName>
    <definedName name="OSRRefE21_0x_5" localSheetId="65">'313'!$O$19</definedName>
    <definedName name="OSRRefE21_0x_5" localSheetId="57">'315'!$O$43:$O$51</definedName>
    <definedName name="OSRRefE21_0x_5" localSheetId="60">'316'!$O$26:$O$34</definedName>
    <definedName name="OSRRefE21_0x_5" localSheetId="62">'317'!$O$34:$O$43</definedName>
    <definedName name="OSRRefE21_0x_5" localSheetId="66">'321'!$O$23:$O$31</definedName>
    <definedName name="OSRRefE21_0x_5" localSheetId="67">'322'!$O$19</definedName>
    <definedName name="OSRRefE21_0x_5" localSheetId="68">'325'!$O$24:$O$32</definedName>
    <definedName name="OSRRefE21_0x_5" localSheetId="58">'326'!$O$27:$O$35</definedName>
    <definedName name="OSRRefE21_0x_5" localSheetId="69">'327'!$O$25</definedName>
    <definedName name="OSRRefE21_0x_5" localSheetId="51">'330'!$O$33:$O$40</definedName>
    <definedName name="OSRRefE21_0x_5" localSheetId="56">'331'!$O$43:$O$51</definedName>
    <definedName name="OSRRefE21_0x_5" localSheetId="59">'332'!$O$26:$O$34</definedName>
    <definedName name="OSRRefE21_0x_5" localSheetId="73">'405'!$O$26:$O$34</definedName>
    <definedName name="OSRRefE21_0x_5" localSheetId="74">'406'!$O$19</definedName>
    <definedName name="OSRRefE21_0x_5" localSheetId="75">'411'!$O$19:$O$27</definedName>
    <definedName name="OSRRefE21_0x_5" localSheetId="76">'412'!$O$19</definedName>
    <definedName name="OSRRefE21_0x_5" localSheetId="77">'413'!$O$19</definedName>
    <definedName name="OSRRefE21_0x_5" localSheetId="78">'414'!$O$19</definedName>
    <definedName name="OSRRefE21_0x_5" localSheetId="79">'415'!$O$26:$O$34</definedName>
    <definedName name="OSRRefE21_0x_5" localSheetId="80">'418'!$O$23:$O$31</definedName>
    <definedName name="OSRRefE21_0x_5" localSheetId="81">'423'!$O$19:$O$26</definedName>
    <definedName name="OSRRefE21_0x_5" localSheetId="82">'424'!$O$19</definedName>
    <definedName name="OSRRefE21_0x_5" localSheetId="84">'425'!$O$21</definedName>
    <definedName name="OSRRefE21_0x_5" localSheetId="86">'430'!$O$19:$O$27</definedName>
    <definedName name="OSRRefE21_0x_5" localSheetId="87">'433'!$O$26:$O$35</definedName>
    <definedName name="OSRRefE21_0x_5" localSheetId="88">'444'!$O$26:$O$35</definedName>
    <definedName name="OSRRefE21_0x_5" localSheetId="89">'450'!$O$26:$O$35</definedName>
    <definedName name="OSRRefE21_0x_5" localSheetId="72">'491'!$O$27:$O$35</definedName>
    <definedName name="OSRRefE21_0x_5" localSheetId="85">'492'!$O$26:$O$35</definedName>
    <definedName name="OSRRefE21_0x_5" localSheetId="91">'501'!$O$20:$O$29</definedName>
    <definedName name="OSRRefE21_0x_5" localSheetId="39">'Div 2'!$O$19:$O$29</definedName>
    <definedName name="OSRRefE21_0x_5" localSheetId="47">'Div 3'!$O$57:$O$66</definedName>
    <definedName name="OSRRefE21_0x_5" localSheetId="70">'Div 4'!$O$28:$O$37</definedName>
    <definedName name="OSRRefE21_0x_5" localSheetId="90">'Div 5'!$O$20:$O$29</definedName>
    <definedName name="OSRRefE21_0x_5" localSheetId="61">'Div 6'!$O$34:$O$43</definedName>
    <definedName name="OSRRefE21_0x_5" localSheetId="2">Summary!$O$65:$O$74</definedName>
    <definedName name="OSRRefE21_1_0x" localSheetId="40">'200'!$J$21:$O$21</definedName>
    <definedName name="OSRRefE21_1_0x" localSheetId="41">'201'!$J$29:$O$29</definedName>
    <definedName name="OSRRefE21_1_0x" localSheetId="42">'202'!$J$29:$O$29</definedName>
    <definedName name="OSRRefE21_1_0x" localSheetId="43">'203'!$J$30:$O$30</definedName>
    <definedName name="OSRRefE21_1_0x" localSheetId="44">'204'!$J$29:$O$29</definedName>
    <definedName name="OSRRefE21_1_0x" localSheetId="45">'205'!$J$29:$O$29</definedName>
    <definedName name="OSRRefE21_1_0x" localSheetId="46">'206'!$J$29:$O$29</definedName>
    <definedName name="OSRRefE21_1_0x" localSheetId="48">'300'!$J$64:$O$64</definedName>
    <definedName name="OSRRefE21_1_0x" localSheetId="49">'300 &amp; 317'!$J$70:$O$70</definedName>
    <definedName name="OSRRefE21_1_0x" localSheetId="50">'301'!$J$31:$O$31</definedName>
    <definedName name="OSRRefE21_1_0x" localSheetId="52">'307'!$J$42:$O$42</definedName>
    <definedName name="OSRRefE21_1_0x" localSheetId="53">'308'!$J$45:$O$45</definedName>
    <definedName name="OSRRefE21_1_0x" localSheetId="64">'309'!$J$21:$O$21</definedName>
    <definedName name="OSRRefE21_1_0x" localSheetId="63">'310'!$J$36:$O$36</definedName>
    <definedName name="OSRRefE21_1_0x" localSheetId="71">'310 &amp; 491'!$J$38:$O$38</definedName>
    <definedName name="OSRRefE21_1_0x" localSheetId="54">'311'!$J$45:$O$45</definedName>
    <definedName name="OSRRefE21_1_0x" localSheetId="65">'313'!$J$21:$O$21</definedName>
    <definedName name="OSRRefE21_1_0x" localSheetId="57">'315'!$J$53:$O$53</definedName>
    <definedName name="OSRRefE21_1_0x" localSheetId="60">'316'!$J$36:$O$36</definedName>
    <definedName name="OSRRefE21_1_0x" localSheetId="62">'317'!$J$45:$O$45</definedName>
    <definedName name="OSRRefE21_1_0x" localSheetId="66">'321'!$J$33:$O$33</definedName>
    <definedName name="OSRRefE21_1_0x" localSheetId="68">'325'!$J$34:$O$34</definedName>
    <definedName name="OSRRefE21_1_0x" localSheetId="58">'326'!$J$37:$O$37</definedName>
    <definedName name="OSRRefE21_1_0x" localSheetId="51">'330'!$J$42:$O$42</definedName>
    <definedName name="OSRRefE21_1_0x" localSheetId="56">'331'!$J$53:$O$53</definedName>
    <definedName name="OSRRefE21_1_0x" localSheetId="59">'332'!$J$36:$O$36</definedName>
    <definedName name="OSRRefE21_1_0x" localSheetId="73">'405'!$J$36:$O$36</definedName>
    <definedName name="OSRRefE21_1_0x" localSheetId="75">'411'!$J$29:$O$29</definedName>
    <definedName name="OSRRefE21_1_0x" localSheetId="76">'412'!$J$21:$O$21</definedName>
    <definedName name="OSRRefE21_1_0x" localSheetId="77">'413'!$J$21:$O$21</definedName>
    <definedName name="OSRRefE21_1_0x" localSheetId="78">'414'!$J$21:$O$21</definedName>
    <definedName name="OSRRefE21_1_0x" localSheetId="79">'415'!$J$36:$O$36</definedName>
    <definedName name="OSRRefE21_1_0x" localSheetId="80">'418'!$J$33:$O$33</definedName>
    <definedName name="OSRRefE21_1_0x" localSheetId="81">'423'!$J$28:$O$28</definedName>
    <definedName name="OSRRefE21_1_0x" localSheetId="82">'424'!$J$21:$O$21</definedName>
    <definedName name="OSRRefE21_1_0x" localSheetId="84">'425'!$J$23:$O$23</definedName>
    <definedName name="OSRRefE21_1_0x" localSheetId="86">'430'!$J$29:$O$29</definedName>
    <definedName name="OSRRefE21_1_0x" localSheetId="87">'433'!$J$37:$O$37</definedName>
    <definedName name="OSRRefE21_1_0x" localSheetId="88">'444'!$J$37:$O$37</definedName>
    <definedName name="OSRRefE21_1_0x" localSheetId="89">'450'!$J$37:$O$37</definedName>
    <definedName name="OSRRefE21_1_0x" localSheetId="72">'491'!$J$37:$O$37</definedName>
    <definedName name="OSRRefE21_1_0x" localSheetId="85">'492'!$J$37:$O$37</definedName>
    <definedName name="OSRRefE21_1_0x" localSheetId="91">'501'!$J$31:$O$31</definedName>
    <definedName name="OSRRefE21_1_0x" localSheetId="39">'Div 2'!$J$31:$O$31</definedName>
    <definedName name="OSRRefE21_1_0x" localSheetId="47">'Div 3'!$J$68:$O$68</definedName>
    <definedName name="OSRRefE21_1_0x" localSheetId="70">'Div 4'!$J$39:$O$39</definedName>
    <definedName name="OSRRefE21_1_0x" localSheetId="90">'Div 5'!$J$31:$O$31</definedName>
    <definedName name="OSRRefE21_1_0x" localSheetId="61">'Div 6'!$J$45:$O$45</definedName>
    <definedName name="OSRRefE21_1_0x" localSheetId="2">Summary!$J$76:$O$76</definedName>
    <definedName name="OSRRefE21_1_1x" localSheetId="41">'201'!$J$30:$O$30</definedName>
    <definedName name="OSRRefE21_1_1x" localSheetId="42">'202'!$J$30:$O$30</definedName>
    <definedName name="OSRRefE21_1_1x" localSheetId="43">'203'!$J$31:$O$31</definedName>
    <definedName name="OSRRefE21_1_1x" localSheetId="44">'204'!$J$30:$O$30</definedName>
    <definedName name="OSRRefE21_1_1x" localSheetId="45">'205'!$J$30:$O$30</definedName>
    <definedName name="OSRRefE21_1_1x" localSheetId="46">'206'!$J$30:$O$30</definedName>
    <definedName name="OSRRefE21_1_1x" localSheetId="48">'300'!$J$65:$O$65</definedName>
    <definedName name="OSRRefE21_1_1x" localSheetId="49">'300 &amp; 317'!$J$71:$O$71</definedName>
    <definedName name="OSRRefE21_1_1x" localSheetId="50">'301'!$J$32:$O$32</definedName>
    <definedName name="OSRRefE21_1_1x" localSheetId="52">'307'!$J$43:$O$43</definedName>
    <definedName name="OSRRefE21_1_1x" localSheetId="53">'308'!$J$46:$O$46</definedName>
    <definedName name="OSRRefE21_1_1x" localSheetId="63">'310'!$J$37:$O$37</definedName>
    <definedName name="OSRRefE21_1_1x" localSheetId="71">'310 &amp; 491'!$J$39:$O$39</definedName>
    <definedName name="OSRRefE21_1_1x" localSheetId="54">'311'!$J$46:$O$46</definedName>
    <definedName name="OSRRefE21_1_1x" localSheetId="57">'315'!$J$54:$O$54</definedName>
    <definedName name="OSRRefE21_1_1x" localSheetId="60">'316'!$J$37:$O$37</definedName>
    <definedName name="OSRRefE21_1_1x" localSheetId="62">'317'!$J$46:$O$46</definedName>
    <definedName name="OSRRefE21_1_1x" localSheetId="66">'321'!$J$34:$O$34</definedName>
    <definedName name="OSRRefE21_1_1x" localSheetId="68">'325'!$J$35:$O$35</definedName>
    <definedName name="OSRRefE21_1_1x" localSheetId="58">'326'!$J$38:$O$38</definedName>
    <definedName name="OSRRefE21_1_1x" localSheetId="51">'330'!$J$43:$O$43</definedName>
    <definedName name="OSRRefE21_1_1x" localSheetId="56">'331'!$J$54:$O$54</definedName>
    <definedName name="OSRRefE21_1_1x" localSheetId="59">'332'!$J$37:$O$37</definedName>
    <definedName name="OSRRefE21_1_1x" localSheetId="73">'405'!$J$37:$O$37</definedName>
    <definedName name="OSRRefE21_1_1x" localSheetId="75">'411'!$J$30:$O$30</definedName>
    <definedName name="OSRRefE21_1_1x" localSheetId="79">'415'!$J$37:$O$37</definedName>
    <definedName name="OSRRefE21_1_1x" localSheetId="80">'418'!$J$34:$O$34</definedName>
    <definedName name="OSRRefE21_1_1x" localSheetId="81">'423'!$J$29:$O$29</definedName>
    <definedName name="OSRRefE21_1_1x" localSheetId="86">'430'!$J$30:$O$30</definedName>
    <definedName name="OSRRefE21_1_1x" localSheetId="87">'433'!$J$38:$O$38</definedName>
    <definedName name="OSRRefE21_1_1x" localSheetId="88">'444'!$J$38:$O$38</definedName>
    <definedName name="OSRRefE21_1_1x" localSheetId="89">'450'!$J$38:$O$38</definedName>
    <definedName name="OSRRefE21_1_1x" localSheetId="72">'491'!$J$38:$O$38</definedName>
    <definedName name="OSRRefE21_1_1x" localSheetId="85">'492'!$J$38:$O$38</definedName>
    <definedName name="OSRRefE21_1_1x" localSheetId="91">'501'!$J$32:$O$32</definedName>
    <definedName name="OSRRefE21_1_1x" localSheetId="39">'Div 2'!$J$32:$O$32</definedName>
    <definedName name="OSRRefE21_1_1x" localSheetId="47">'Div 3'!$J$69:$O$69</definedName>
    <definedName name="OSRRefE21_1_1x" localSheetId="70">'Div 4'!$J$40:$O$40</definedName>
    <definedName name="OSRRefE21_1_1x" localSheetId="90">'Div 5'!$J$32:$O$32</definedName>
    <definedName name="OSRRefE21_1_1x" localSheetId="61">'Div 6'!$J$46:$O$46</definedName>
    <definedName name="OSRRefE21_1_1x" localSheetId="2">Summary!$J$77:$O$77</definedName>
    <definedName name="OSRRefE21_1_2x" localSheetId="41">'201'!$J$31:$O$31</definedName>
    <definedName name="OSRRefE21_1_2x" localSheetId="42">'202'!$J$31:$O$31</definedName>
    <definedName name="OSRRefE21_1_2x" localSheetId="43">'203'!$J$32:$O$32</definedName>
    <definedName name="OSRRefE21_1_2x" localSheetId="44">'204'!$J$31:$O$31</definedName>
    <definedName name="OSRRefE21_1_2x" localSheetId="45">'205'!$J$31:$O$31</definedName>
    <definedName name="OSRRefE21_1_2x" localSheetId="46">'206'!$J$31:$O$31</definedName>
    <definedName name="OSRRefE21_1_2x" localSheetId="48">'300'!$J$66:$O$66</definedName>
    <definedName name="OSRRefE21_1_2x" localSheetId="49">'300 &amp; 317'!$J$72:$O$72</definedName>
    <definedName name="OSRRefE21_1_2x" localSheetId="50">'301'!$J$33:$O$33</definedName>
    <definedName name="OSRRefE21_1_2x" localSheetId="52">'307'!$J$44:$O$44</definedName>
    <definedName name="OSRRefE21_1_2x" localSheetId="53">'308'!$J$47:$O$47</definedName>
    <definedName name="OSRRefE21_1_2x" localSheetId="63">'310'!$J$38:$O$38</definedName>
    <definedName name="OSRRefE21_1_2x" localSheetId="71">'310 &amp; 491'!$J$40:$O$40</definedName>
    <definedName name="OSRRefE21_1_2x" localSheetId="54">'311'!$J$47:$O$47</definedName>
    <definedName name="OSRRefE21_1_2x" localSheetId="57">'315'!$J$55:$O$55</definedName>
    <definedName name="OSRRefE21_1_2x" localSheetId="60">'316'!$J$38:$O$38</definedName>
    <definedName name="OSRRefE21_1_2x" localSheetId="62">'317'!$J$47:$O$47</definedName>
    <definedName name="OSRRefE21_1_2x" localSheetId="66">'321'!$J$35:$O$35</definedName>
    <definedName name="OSRRefE21_1_2x" localSheetId="68">'325'!$J$36:$O$36</definedName>
    <definedName name="OSRRefE21_1_2x" localSheetId="58">'326'!$J$39:$O$39</definedName>
    <definedName name="OSRRefE21_1_2x" localSheetId="51">'330'!$J$44:$O$44</definedName>
    <definedName name="OSRRefE21_1_2x" localSheetId="56">'331'!$J$55:$O$55</definedName>
    <definedName name="OSRRefE21_1_2x" localSheetId="59">'332'!$J$38:$O$38</definedName>
    <definedName name="OSRRefE21_1_2x" localSheetId="73">'405'!$J$38:$O$38</definedName>
    <definedName name="OSRRefE21_1_2x" localSheetId="75">'411'!$J$31:$O$31</definedName>
    <definedName name="OSRRefE21_1_2x" localSheetId="79">'415'!$J$38:$O$38</definedName>
    <definedName name="OSRRefE21_1_2x" localSheetId="80">'418'!$J$35:$O$35</definedName>
    <definedName name="OSRRefE21_1_2x" localSheetId="81">'423'!$J$30:$O$30</definedName>
    <definedName name="OSRRefE21_1_2x" localSheetId="86">'430'!$J$31:$O$31</definedName>
    <definedName name="OSRRefE21_1_2x" localSheetId="87">'433'!$J$39:$O$39</definedName>
    <definedName name="OSRRefE21_1_2x" localSheetId="88">'444'!$J$39:$O$39</definedName>
    <definedName name="OSRRefE21_1_2x" localSheetId="89">'450'!$J$39:$O$39</definedName>
    <definedName name="OSRRefE21_1_2x" localSheetId="72">'491'!$J$39:$O$39</definedName>
    <definedName name="OSRRefE21_1_2x" localSheetId="85">'492'!$J$39:$O$39</definedName>
    <definedName name="OSRRefE21_1_2x" localSheetId="91">'501'!$J$33:$O$33</definedName>
    <definedName name="OSRRefE21_1_2x" localSheetId="39">'Div 2'!$J$33:$O$33</definedName>
    <definedName name="OSRRefE21_1_2x" localSheetId="47">'Div 3'!$J$70:$O$70</definedName>
    <definedName name="OSRRefE21_1_2x" localSheetId="70">'Div 4'!$J$41:$O$41</definedName>
    <definedName name="OSRRefE21_1_2x" localSheetId="90">'Div 5'!$J$33:$O$33</definedName>
    <definedName name="OSRRefE21_1_2x" localSheetId="61">'Div 6'!$J$47:$O$47</definedName>
    <definedName name="OSRRefE21_1_2x" localSheetId="2">Summary!$J$78:$O$78</definedName>
    <definedName name="OSRRefE21_1_3x" localSheetId="41">'201'!$J$32:$O$32</definedName>
    <definedName name="OSRRefE21_1_3x" localSheetId="42">'202'!$J$32:$O$32</definedName>
    <definedName name="OSRRefE21_1_3x" localSheetId="43">'203'!$J$33:$O$33</definedName>
    <definedName name="OSRRefE21_1_3x" localSheetId="44">'204'!$J$32:$O$32</definedName>
    <definedName name="OSRRefE21_1_3x" localSheetId="45">'205'!$J$32:$O$32</definedName>
    <definedName name="OSRRefE21_1_3x" localSheetId="46">'206'!$J$32:$O$32</definedName>
    <definedName name="OSRRefE21_1_3x" localSheetId="48">'300'!$J$67:$O$67</definedName>
    <definedName name="OSRRefE21_1_3x" localSheetId="49">'300 &amp; 317'!$J$73:$O$73</definedName>
    <definedName name="OSRRefE21_1_3x" localSheetId="50">'301'!$J$34:$O$34</definedName>
    <definedName name="OSRRefE21_1_3x" localSheetId="52">'307'!$J$45:$O$45</definedName>
    <definedName name="OSRRefE21_1_3x" localSheetId="53">'308'!$J$48:$O$48</definedName>
    <definedName name="OSRRefE21_1_3x" localSheetId="63">'310'!$J$39:$O$39</definedName>
    <definedName name="OSRRefE21_1_3x" localSheetId="71">'310 &amp; 491'!$J$41:$O$41</definedName>
    <definedName name="OSRRefE21_1_3x" localSheetId="54">'311'!$J$48:$O$48</definedName>
    <definedName name="OSRRefE21_1_3x" localSheetId="57">'315'!$J$56:$O$56</definedName>
    <definedName name="OSRRefE21_1_3x" localSheetId="60">'316'!$J$39:$O$39</definedName>
    <definedName name="OSRRefE21_1_3x" localSheetId="62">'317'!$J$48:$O$48</definedName>
    <definedName name="OSRRefE21_1_3x" localSheetId="66">'321'!$J$36:$O$36</definedName>
    <definedName name="OSRRefE21_1_3x" localSheetId="68">'325'!$J$37:$O$37</definedName>
    <definedName name="OSRRefE21_1_3x" localSheetId="58">'326'!$J$40:$O$40</definedName>
    <definedName name="OSRRefE21_1_3x" localSheetId="51">'330'!$J$45:$O$45</definedName>
    <definedName name="OSRRefE21_1_3x" localSheetId="56">'331'!$J$56:$O$56</definedName>
    <definedName name="OSRRefE21_1_3x" localSheetId="59">'332'!$J$39:$O$39</definedName>
    <definedName name="OSRRefE21_1_3x" localSheetId="73">'405'!$J$39:$O$39</definedName>
    <definedName name="OSRRefE21_1_3x" localSheetId="75">'411'!$J$32:$O$32</definedName>
    <definedName name="OSRRefE21_1_3x" localSheetId="79">'415'!$J$39:$O$39</definedName>
    <definedName name="OSRRefE21_1_3x" localSheetId="80">'418'!$J$36:$O$36</definedName>
    <definedName name="OSRRefE21_1_3x" localSheetId="81">'423'!$J$31:$O$31</definedName>
    <definedName name="OSRRefE21_1_3x" localSheetId="86">'430'!$J$32:$O$32</definedName>
    <definedName name="OSRRefE21_1_3x" localSheetId="87">'433'!$J$40:$O$40</definedName>
    <definedName name="OSRRefE21_1_3x" localSheetId="88">'444'!$J$40:$O$40</definedName>
    <definedName name="OSRRefE21_1_3x" localSheetId="89">'450'!$J$40:$O$40</definedName>
    <definedName name="OSRRefE21_1_3x" localSheetId="72">'491'!$J$40:$O$40</definedName>
    <definedName name="OSRRefE21_1_3x" localSheetId="85">'492'!$J$40:$O$40</definedName>
    <definedName name="OSRRefE21_1_3x" localSheetId="91">'501'!$J$34:$O$34</definedName>
    <definedName name="OSRRefE21_1_3x" localSheetId="39">'Div 2'!$J$34:$O$34</definedName>
    <definedName name="OSRRefE21_1_3x" localSheetId="47">'Div 3'!$J$71:$O$71</definedName>
    <definedName name="OSRRefE21_1_3x" localSheetId="70">'Div 4'!$J$42:$O$42</definedName>
    <definedName name="OSRRefE21_1_3x" localSheetId="90">'Div 5'!$J$34:$O$34</definedName>
    <definedName name="OSRRefE21_1_3x" localSheetId="61">'Div 6'!$J$48:$O$48</definedName>
    <definedName name="OSRRefE21_1_3x" localSheetId="2">Summary!$J$79:$O$79</definedName>
    <definedName name="OSRRefE21_1_4x" localSheetId="41">'201'!$J$33:$O$33</definedName>
    <definedName name="OSRRefE21_1_4x" localSheetId="42">'202'!$J$33:$O$33</definedName>
    <definedName name="OSRRefE21_1_4x" localSheetId="43">'203'!$J$34:$O$34</definedName>
    <definedName name="OSRRefE21_1_4x" localSheetId="44">'204'!$J$33:$O$33</definedName>
    <definedName name="OSRRefE21_1_4x" localSheetId="45">'205'!$J$33:$O$33</definedName>
    <definedName name="OSRRefE21_1_4x" localSheetId="46">'206'!$J$33:$O$33</definedName>
    <definedName name="OSRRefE21_1_4x" localSheetId="48">'300'!$J$68:$O$68</definedName>
    <definedName name="OSRRefE21_1_4x" localSheetId="49">'300 &amp; 317'!$J$74:$O$74</definedName>
    <definedName name="OSRRefE21_1_4x" localSheetId="50">'301'!$J$35:$O$35</definedName>
    <definedName name="OSRRefE21_1_4x" localSheetId="52">'307'!$J$46:$O$46</definedName>
    <definedName name="OSRRefE21_1_4x" localSheetId="53">'308'!$J$49:$O$49</definedName>
    <definedName name="OSRRefE21_1_4x" localSheetId="63">'310'!$J$40:$O$40</definedName>
    <definedName name="OSRRefE21_1_4x" localSheetId="71">'310 &amp; 491'!$J$42:$O$42</definedName>
    <definedName name="OSRRefE21_1_4x" localSheetId="54">'311'!$J$49:$O$49</definedName>
    <definedName name="OSRRefE21_1_4x" localSheetId="57">'315'!$J$57:$O$57</definedName>
    <definedName name="OSRRefE21_1_4x" localSheetId="60">'316'!$J$40:$O$40</definedName>
    <definedName name="OSRRefE21_1_4x" localSheetId="62">'317'!$J$49:$O$49</definedName>
    <definedName name="OSRRefE21_1_4x" localSheetId="66">'321'!$J$37:$O$37</definedName>
    <definedName name="OSRRefE21_1_4x" localSheetId="68">'325'!$J$38:$O$38</definedName>
    <definedName name="OSRRefE21_1_4x" localSheetId="58">'326'!$J$41:$O$41</definedName>
    <definedName name="OSRRefE21_1_4x" localSheetId="51">'330'!$J$46:$O$46</definedName>
    <definedName name="OSRRefE21_1_4x" localSheetId="56">'331'!$J$57:$O$57</definedName>
    <definedName name="OSRRefE21_1_4x" localSheetId="59">'332'!$J$40:$O$40</definedName>
    <definedName name="OSRRefE21_1_4x" localSheetId="73">'405'!$J$40:$O$40</definedName>
    <definedName name="OSRRefE21_1_4x" localSheetId="75">'411'!$J$33:$O$33</definedName>
    <definedName name="OSRRefE21_1_4x" localSheetId="79">'415'!$J$40:$O$40</definedName>
    <definedName name="OSRRefE21_1_4x" localSheetId="80">'418'!$J$37:$O$37</definedName>
    <definedName name="OSRRefE21_1_4x" localSheetId="81">'423'!$J$32:$O$32</definedName>
    <definedName name="OSRRefE21_1_4x" localSheetId="86">'430'!$J$33:$O$33</definedName>
    <definedName name="OSRRefE21_1_4x" localSheetId="87">'433'!$J$41:$O$41</definedName>
    <definedName name="OSRRefE21_1_4x" localSheetId="88">'444'!$J$41:$O$41</definedName>
    <definedName name="OSRRefE21_1_4x" localSheetId="89">'450'!$J$41:$O$41</definedName>
    <definedName name="OSRRefE21_1_4x" localSheetId="72">'491'!$J$41:$O$41</definedName>
    <definedName name="OSRRefE21_1_4x" localSheetId="85">'492'!$J$41:$O$41</definedName>
    <definedName name="OSRRefE21_1_4x" localSheetId="91">'501'!$J$35:$O$35</definedName>
    <definedName name="OSRRefE21_1_4x" localSheetId="39">'Div 2'!$J$35:$O$35</definedName>
    <definedName name="OSRRefE21_1_4x" localSheetId="47">'Div 3'!$J$72:$O$72</definedName>
    <definedName name="OSRRefE21_1_4x" localSheetId="70">'Div 4'!$J$43:$O$43</definedName>
    <definedName name="OSRRefE21_1_4x" localSheetId="90">'Div 5'!$J$35:$O$35</definedName>
    <definedName name="OSRRefE21_1_4x" localSheetId="61">'Div 6'!$J$49:$O$49</definedName>
    <definedName name="OSRRefE21_1_4x" localSheetId="2">Summary!$J$80:$O$80</definedName>
    <definedName name="OSRRefE21_1_5x" localSheetId="41">'201'!$J$34:$O$34</definedName>
    <definedName name="OSRRefE21_1_5x" localSheetId="42">'202'!$J$34:$O$34</definedName>
    <definedName name="OSRRefE21_1_5x" localSheetId="43">'203'!$J$35:$O$35</definedName>
    <definedName name="OSRRefE21_1_5x" localSheetId="44">'204'!$J$34:$O$34</definedName>
    <definedName name="OSRRefE21_1_5x" localSheetId="45">'205'!$J$34:$O$34</definedName>
    <definedName name="OSRRefE21_1_5x" localSheetId="46">'206'!$J$34:$O$34</definedName>
    <definedName name="OSRRefE21_1_5x" localSheetId="48">'300'!$J$69:$O$69</definedName>
    <definedName name="OSRRefE21_1_5x" localSheetId="49">'300 &amp; 317'!$J$75:$O$75</definedName>
    <definedName name="OSRRefE21_1_5x" localSheetId="50">'301'!$J$36:$O$36</definedName>
    <definedName name="OSRRefE21_1_5x" localSheetId="52">'307'!$J$47:$O$47</definedName>
    <definedName name="OSRRefE21_1_5x" localSheetId="53">'308'!$J$50:$O$50</definedName>
    <definedName name="OSRRefE21_1_5x" localSheetId="63">'310'!$J$41:$O$41</definedName>
    <definedName name="OSRRefE21_1_5x" localSheetId="71">'310 &amp; 491'!$J$43:$O$43</definedName>
    <definedName name="OSRRefE21_1_5x" localSheetId="54">'311'!$J$50:$O$50</definedName>
    <definedName name="OSRRefE21_1_5x" localSheetId="57">'315'!$J$58:$O$58</definedName>
    <definedName name="OSRRefE21_1_5x" localSheetId="60">'316'!$J$41:$O$41</definedName>
    <definedName name="OSRRefE21_1_5x" localSheetId="62">'317'!$J$50:$O$50</definedName>
    <definedName name="OSRRefE21_1_5x" localSheetId="66">'321'!$J$38:$O$38</definedName>
    <definedName name="OSRRefE21_1_5x" localSheetId="68">'325'!$J$39:$O$39</definedName>
    <definedName name="OSRRefE21_1_5x" localSheetId="58">'326'!$J$42:$O$42</definedName>
    <definedName name="OSRRefE21_1_5x" localSheetId="51">'330'!$J$47:$O$47</definedName>
    <definedName name="OSRRefE21_1_5x" localSheetId="56">'331'!$J$58:$O$58</definedName>
    <definedName name="OSRRefE21_1_5x" localSheetId="59">'332'!$J$41:$O$41</definedName>
    <definedName name="OSRRefE21_1_5x" localSheetId="73">'405'!$J$41:$O$41</definedName>
    <definedName name="OSRRefE21_1_5x" localSheetId="75">'411'!$J$34:$O$34</definedName>
    <definedName name="OSRRefE21_1_5x" localSheetId="79">'415'!$J$41:$O$41</definedName>
    <definedName name="OSRRefE21_1_5x" localSheetId="80">'418'!$J$38:$O$38</definedName>
    <definedName name="OSRRefE21_1_5x" localSheetId="81">'423'!$J$33:$O$33</definedName>
    <definedName name="OSRRefE21_1_5x" localSheetId="86">'430'!$J$34:$O$34</definedName>
    <definedName name="OSRRefE21_1_5x" localSheetId="87">'433'!$J$42:$O$42</definedName>
    <definedName name="OSRRefE21_1_5x" localSheetId="88">'444'!$J$42:$O$42</definedName>
    <definedName name="OSRRefE21_1_5x" localSheetId="89">'450'!$J$42:$O$42</definedName>
    <definedName name="OSRRefE21_1_5x" localSheetId="72">'491'!$J$42:$O$42</definedName>
    <definedName name="OSRRefE21_1_5x" localSheetId="85">'492'!$J$42:$O$42</definedName>
    <definedName name="OSRRefE21_1_5x" localSheetId="91">'501'!$J$36:$O$36</definedName>
    <definedName name="OSRRefE21_1_5x" localSheetId="39">'Div 2'!$J$36:$O$36</definedName>
    <definedName name="OSRRefE21_1_5x" localSheetId="47">'Div 3'!$J$73:$O$73</definedName>
    <definedName name="OSRRefE21_1_5x" localSheetId="70">'Div 4'!$J$44:$O$44</definedName>
    <definedName name="OSRRefE21_1_5x" localSheetId="90">'Div 5'!$J$36:$O$36</definedName>
    <definedName name="OSRRefE21_1_5x" localSheetId="61">'Div 6'!$J$50:$O$50</definedName>
    <definedName name="OSRRefE21_1_5x" localSheetId="2">Summary!$J$81:$O$81</definedName>
    <definedName name="OSRRefE21_1_6x" localSheetId="41">'201'!$J$35:$O$35</definedName>
    <definedName name="OSRRefE21_1_6x" localSheetId="42">'202'!$J$35:$O$35</definedName>
    <definedName name="OSRRefE21_1_6x" localSheetId="43">'203'!$J$36:$O$36</definedName>
    <definedName name="OSRRefE21_1_6x" localSheetId="44">'204'!$J$35:$O$35</definedName>
    <definedName name="OSRRefE21_1_6x" localSheetId="45">'205'!$J$35:$O$35</definedName>
    <definedName name="OSRRefE21_1_6x" localSheetId="46">'206'!$J$35:$O$35</definedName>
    <definedName name="OSRRefE21_1_6x" localSheetId="48">'300'!$J$70:$O$70</definedName>
    <definedName name="OSRRefE21_1_6x" localSheetId="49">'300 &amp; 317'!$J$76:$O$76</definedName>
    <definedName name="OSRRefE21_1_6x" localSheetId="50">'301'!$J$37:$O$37</definedName>
    <definedName name="OSRRefE21_1_6x" localSheetId="52">'307'!$J$48:$O$48</definedName>
    <definedName name="OSRRefE21_1_6x" localSheetId="53">'308'!$J$51:$O$51</definedName>
    <definedName name="OSRRefE21_1_6x" localSheetId="63">'310'!$J$42:$O$42</definedName>
    <definedName name="OSRRefE21_1_6x" localSheetId="71">'310 &amp; 491'!$J$44:$O$44</definedName>
    <definedName name="OSRRefE21_1_6x" localSheetId="54">'311'!$J$51:$O$51</definedName>
    <definedName name="OSRRefE21_1_6x" localSheetId="57">'315'!$J$59:$O$59</definedName>
    <definedName name="OSRRefE21_1_6x" localSheetId="60">'316'!$J$42:$O$42</definedName>
    <definedName name="OSRRefE21_1_6x" localSheetId="62">'317'!$J$51:$O$51</definedName>
    <definedName name="OSRRefE21_1_6x" localSheetId="66">'321'!$J$39:$O$39</definedName>
    <definedName name="OSRRefE21_1_6x" localSheetId="68">'325'!$J$40:$O$40</definedName>
    <definedName name="OSRRefE21_1_6x" localSheetId="58">'326'!$J$43:$O$43</definedName>
    <definedName name="OSRRefE21_1_6x" localSheetId="51">'330'!$J$48:$O$48</definedName>
    <definedName name="OSRRefE21_1_6x" localSheetId="56">'331'!$J$59:$O$59</definedName>
    <definedName name="OSRRefE21_1_6x" localSheetId="59">'332'!$J$42:$O$42</definedName>
    <definedName name="OSRRefE21_1_6x" localSheetId="73">'405'!$J$42:$O$42</definedName>
    <definedName name="OSRRefE21_1_6x" localSheetId="75">'411'!$J$35:$O$35</definedName>
    <definedName name="OSRRefE21_1_6x" localSheetId="79">'415'!$J$42:$O$42</definedName>
    <definedName name="OSRRefE21_1_6x" localSheetId="80">'418'!$J$39:$O$39</definedName>
    <definedName name="OSRRefE21_1_6x" localSheetId="81">'423'!$J$34:$O$34</definedName>
    <definedName name="OSRRefE21_1_6x" localSheetId="86">'430'!$J$35:$O$35</definedName>
    <definedName name="OSRRefE21_1_6x" localSheetId="87">'433'!$J$43:$O$43</definedName>
    <definedName name="OSRRefE21_1_6x" localSheetId="88">'444'!$J$43:$O$43</definedName>
    <definedName name="OSRRefE21_1_6x" localSheetId="89">'450'!$J$43:$O$43</definedName>
    <definedName name="OSRRefE21_1_6x" localSheetId="72">'491'!$J$43:$O$43</definedName>
    <definedName name="OSRRefE21_1_6x" localSheetId="85">'492'!$J$43:$O$43</definedName>
    <definedName name="OSRRefE21_1_6x" localSheetId="91">'501'!$J$37:$O$37</definedName>
    <definedName name="OSRRefE21_1_6x" localSheetId="39">'Div 2'!$J$37:$O$37</definedName>
    <definedName name="OSRRefE21_1_6x" localSheetId="47">'Div 3'!$J$74:$O$74</definedName>
    <definedName name="OSRRefE21_1_6x" localSheetId="70">'Div 4'!$J$45:$O$45</definedName>
    <definedName name="OSRRefE21_1_6x" localSheetId="90">'Div 5'!$J$37:$O$37</definedName>
    <definedName name="OSRRefE21_1_6x" localSheetId="61">'Div 6'!$J$51:$O$51</definedName>
    <definedName name="OSRRefE21_1_6x" localSheetId="2">Summary!$J$82:$O$82</definedName>
    <definedName name="OSRRefE21_1_7x" localSheetId="41">'201'!$J$36:$O$36</definedName>
    <definedName name="OSRRefE21_1_7x" localSheetId="42">'202'!$J$36:$O$36</definedName>
    <definedName name="OSRRefE21_1_7x" localSheetId="43">'203'!$J$37:$O$37</definedName>
    <definedName name="OSRRefE21_1_7x" localSheetId="44">'204'!$J$36:$O$36</definedName>
    <definedName name="OSRRefE21_1_7x" localSheetId="45">'205'!$J$36:$O$36</definedName>
    <definedName name="OSRRefE21_1_7x" localSheetId="46">'206'!$J$36:$O$36</definedName>
    <definedName name="OSRRefE21_1_7x" localSheetId="48">'300'!$J$71:$O$71</definedName>
    <definedName name="OSRRefE21_1_7x" localSheetId="49">'300 &amp; 317'!$J$77:$O$77</definedName>
    <definedName name="OSRRefE21_1_7x" localSheetId="50">'301'!$J$38:$O$38</definedName>
    <definedName name="OSRRefE21_1_7x" localSheetId="52">'307'!$J$49:$O$49</definedName>
    <definedName name="OSRRefE21_1_7x" localSheetId="53">'308'!$J$52:$O$52</definedName>
    <definedName name="OSRRefE21_1_7x" localSheetId="63">'310'!$J$43:$O$43</definedName>
    <definedName name="OSRRefE21_1_7x" localSheetId="71">'310 &amp; 491'!$J$45:$O$45</definedName>
    <definedName name="OSRRefE21_1_7x" localSheetId="54">'311'!$J$52:$O$52</definedName>
    <definedName name="OSRRefE21_1_7x" localSheetId="57">'315'!$J$60:$O$60</definedName>
    <definedName name="OSRRefE21_1_7x" localSheetId="60">'316'!$J$43:$O$43</definedName>
    <definedName name="OSRRefE21_1_7x" localSheetId="62">'317'!$J$52:$O$52</definedName>
    <definedName name="OSRRefE21_1_7x" localSheetId="66">'321'!$J$40:$O$40</definedName>
    <definedName name="OSRRefE21_1_7x" localSheetId="68">'325'!$J$41:$O$41</definedName>
    <definedName name="OSRRefE21_1_7x" localSheetId="58">'326'!$J$44:$O$44</definedName>
    <definedName name="OSRRefE21_1_7x" localSheetId="51">'330'!$J$49:$O$49</definedName>
    <definedName name="OSRRefE21_1_7x" localSheetId="56">'331'!$J$60:$O$60</definedName>
    <definedName name="OSRRefE21_1_7x" localSheetId="59">'332'!$J$43:$O$43</definedName>
    <definedName name="OSRRefE21_1_7x" localSheetId="73">'405'!$J$43:$O$43</definedName>
    <definedName name="OSRRefE21_1_7x" localSheetId="75">'411'!$J$36:$O$36</definedName>
    <definedName name="OSRRefE21_1_7x" localSheetId="79">'415'!$J$43:$O$43</definedName>
    <definedName name="OSRRefE21_1_7x" localSheetId="80">'418'!$J$40:$O$40</definedName>
    <definedName name="OSRRefE21_1_7x" localSheetId="81">'423'!$J$35:$O$35</definedName>
    <definedName name="OSRRefE21_1_7x" localSheetId="86">'430'!$J$36:$O$36</definedName>
    <definedName name="OSRRefE21_1_7x" localSheetId="87">'433'!$J$44:$O$44</definedName>
    <definedName name="OSRRefE21_1_7x" localSheetId="88">'444'!$J$44:$O$44</definedName>
    <definedName name="OSRRefE21_1_7x" localSheetId="89">'450'!$J$44:$O$44</definedName>
    <definedName name="OSRRefE21_1_7x" localSheetId="72">'491'!$J$44:$O$44</definedName>
    <definedName name="OSRRefE21_1_7x" localSheetId="85">'492'!$J$44:$O$44</definedName>
    <definedName name="OSRRefE21_1_7x" localSheetId="91">'501'!$J$38:$O$38</definedName>
    <definedName name="OSRRefE21_1_7x" localSheetId="39">'Div 2'!$J$38:$O$38</definedName>
    <definedName name="OSRRefE21_1_7x" localSheetId="47">'Div 3'!$J$75:$O$75</definedName>
    <definedName name="OSRRefE21_1_7x" localSheetId="70">'Div 4'!$J$46:$O$46</definedName>
    <definedName name="OSRRefE21_1_7x" localSheetId="90">'Div 5'!$J$38:$O$38</definedName>
    <definedName name="OSRRefE21_1_7x" localSheetId="61">'Div 6'!$J$52:$O$52</definedName>
    <definedName name="OSRRefE21_1_7x" localSheetId="2">Summary!$J$83:$O$83</definedName>
    <definedName name="OSRRefE21_1_8x" localSheetId="41">'201'!$J$37:$O$37</definedName>
    <definedName name="OSRRefE21_1_8x" localSheetId="42">'202'!$J$37:$O$37</definedName>
    <definedName name="OSRRefE21_1_8x" localSheetId="43">'203'!$J$38:$O$38</definedName>
    <definedName name="OSRRefE21_1_8x" localSheetId="44">'204'!$J$37:$O$37</definedName>
    <definedName name="OSRRefE21_1_8x" localSheetId="45">'205'!$J$37:$O$37</definedName>
    <definedName name="OSRRefE21_1_8x" localSheetId="46">'206'!$J$37:$O$37</definedName>
    <definedName name="OSRRefE21_1_8x" localSheetId="48">'300'!$J$72:$O$72</definedName>
    <definedName name="OSRRefE21_1_8x" localSheetId="49">'300 &amp; 317'!$J$78:$O$78</definedName>
    <definedName name="OSRRefE21_1_8x" localSheetId="50">'301'!$J$39:$O$39</definedName>
    <definedName name="OSRRefE21_1_8x" localSheetId="52">'307'!$J$50:$O$50</definedName>
    <definedName name="OSRRefE21_1_8x" localSheetId="53">'308'!$J$53:$O$53</definedName>
    <definedName name="OSRRefE21_1_8x" localSheetId="63">'310'!$J$44:$O$44</definedName>
    <definedName name="OSRRefE21_1_8x" localSheetId="71">'310 &amp; 491'!$J$46:$O$46</definedName>
    <definedName name="OSRRefE21_1_8x" localSheetId="54">'311'!$J$53:$O$53</definedName>
    <definedName name="OSRRefE21_1_8x" localSheetId="57">'315'!$J$61:$O$61</definedName>
    <definedName name="OSRRefE21_1_8x" localSheetId="60">'316'!$J$44:$O$44</definedName>
    <definedName name="OSRRefE21_1_8x" localSheetId="62">'317'!$J$53:$O$53</definedName>
    <definedName name="OSRRefE21_1_8x" localSheetId="66">'321'!$J$41:$O$41</definedName>
    <definedName name="OSRRefE21_1_8x" localSheetId="68">'325'!$J$42:$O$42</definedName>
    <definedName name="OSRRefE21_1_8x" localSheetId="58">'326'!$J$45:$O$45</definedName>
    <definedName name="OSRRefE21_1_8x" localSheetId="51">'330'!$J$50:$O$50</definedName>
    <definedName name="OSRRefE21_1_8x" localSheetId="56">'331'!$J$61:$O$61</definedName>
    <definedName name="OSRRefE21_1_8x" localSheetId="59">'332'!$J$44:$O$44</definedName>
    <definedName name="OSRRefE21_1_8x" localSheetId="73">'405'!$J$44:$O$44</definedName>
    <definedName name="OSRRefE21_1_8x" localSheetId="75">'411'!$J$37:$O$37</definedName>
    <definedName name="OSRRefE21_1_8x" localSheetId="79">'415'!$J$44:$O$44</definedName>
    <definedName name="OSRRefE21_1_8x" localSheetId="80">'418'!$J$41:$O$41</definedName>
    <definedName name="OSRRefE21_1_8x" localSheetId="81">'423'!$J$36:$O$36</definedName>
    <definedName name="OSRRefE21_1_8x" localSheetId="86">'430'!$J$37:$O$37</definedName>
    <definedName name="OSRRefE21_1_8x" localSheetId="87">'433'!$J$45:$O$45</definedName>
    <definedName name="OSRRefE21_1_8x" localSheetId="88">'444'!$J$45:$O$45</definedName>
    <definedName name="OSRRefE21_1_8x" localSheetId="89">'450'!$J$45:$O$45</definedName>
    <definedName name="OSRRefE21_1_8x" localSheetId="72">'491'!$J$45:$O$45</definedName>
    <definedName name="OSRRefE21_1_8x" localSheetId="85">'492'!$J$45:$O$45</definedName>
    <definedName name="OSRRefE21_1_8x" localSheetId="91">'501'!$J$39:$O$39</definedName>
    <definedName name="OSRRefE21_1_8x" localSheetId="39">'Div 2'!$J$39:$O$39</definedName>
    <definedName name="OSRRefE21_1_8x" localSheetId="47">'Div 3'!$J$76:$O$76</definedName>
    <definedName name="OSRRefE21_1_8x" localSheetId="70">'Div 4'!$J$47:$O$47</definedName>
    <definedName name="OSRRefE21_1_8x" localSheetId="90">'Div 5'!$J$39:$O$39</definedName>
    <definedName name="OSRRefE21_1_8x" localSheetId="61">'Div 6'!$J$53:$O$53</definedName>
    <definedName name="OSRRefE21_1_8x" localSheetId="2">Summary!$J$84:$O$84</definedName>
    <definedName name="OSRRefE21_1_9x" localSheetId="41">'201'!$J$38:$O$38</definedName>
    <definedName name="OSRRefE21_1_9x" localSheetId="42">'202'!$J$38:$O$38</definedName>
    <definedName name="OSRRefE21_1_9x" localSheetId="43">'203'!$J$39:$O$39</definedName>
    <definedName name="OSRRefE21_1_9x" localSheetId="44">'204'!$J$38:$O$38</definedName>
    <definedName name="OSRRefE21_1_9x" localSheetId="45">'205'!$J$38:$O$38</definedName>
    <definedName name="OSRRefE21_1_9x" localSheetId="46">'206'!$J$38:$O$38</definedName>
    <definedName name="OSRRefE21_1_9x" localSheetId="48">'300'!$J$73:$O$73</definedName>
    <definedName name="OSRRefE21_1_9x" localSheetId="49">'300 &amp; 317'!$J$79:$O$79</definedName>
    <definedName name="OSRRefE21_1_9x" localSheetId="50">'301'!$J$40:$O$40</definedName>
    <definedName name="OSRRefE21_1_9x" localSheetId="52">'307'!$J$51:$O$51</definedName>
    <definedName name="OSRRefE21_1_9x" localSheetId="53">'308'!$J$54:$O$54</definedName>
    <definedName name="OSRRefE21_1_9x" localSheetId="63">'310'!$J$45:$O$45</definedName>
    <definedName name="OSRRefE21_1_9x" localSheetId="71">'310 &amp; 491'!$J$47:$O$47</definedName>
    <definedName name="OSRRefE21_1_9x" localSheetId="54">'311'!$J$54:$O$54</definedName>
    <definedName name="OSRRefE21_1_9x" localSheetId="57">'315'!$J$62:$O$62</definedName>
    <definedName name="OSRRefE21_1_9x" localSheetId="60">'316'!$J$45:$O$45</definedName>
    <definedName name="OSRRefE21_1_9x" localSheetId="62">'317'!$J$54:$O$54</definedName>
    <definedName name="OSRRefE21_1_9x" localSheetId="66">'321'!$J$42:$O$42</definedName>
    <definedName name="OSRRefE21_1_9x" localSheetId="68">'325'!$J$43:$O$43</definedName>
    <definedName name="OSRRefE21_1_9x" localSheetId="58">'326'!$J$46:$O$46</definedName>
    <definedName name="OSRRefE21_1_9x" localSheetId="51">'330'!$J$51:$O$51</definedName>
    <definedName name="OSRRefE21_1_9x" localSheetId="56">'331'!$J$62:$O$62</definedName>
    <definedName name="OSRRefE21_1_9x" localSheetId="59">'332'!$J$45:$O$45</definedName>
    <definedName name="OSRRefE21_1_9x" localSheetId="73">'405'!$J$45:$O$45</definedName>
    <definedName name="OSRRefE21_1_9x" localSheetId="75">'411'!$J$38:$O$38</definedName>
    <definedName name="OSRRefE21_1_9x" localSheetId="79">'415'!$J$45:$O$45</definedName>
    <definedName name="OSRRefE21_1_9x" localSheetId="80">'418'!$J$42:$O$42</definedName>
    <definedName name="OSRRefE21_1_9x" localSheetId="81">'423'!$J$37:$O$37</definedName>
    <definedName name="OSRRefE21_1_9x" localSheetId="86">'430'!$J$38:$O$38</definedName>
    <definedName name="OSRRefE21_1_9x" localSheetId="87">'433'!$J$46:$O$46</definedName>
    <definedName name="OSRRefE21_1_9x" localSheetId="88">'444'!$J$46:$O$46</definedName>
    <definedName name="OSRRefE21_1_9x" localSheetId="89">'450'!$J$46:$O$46</definedName>
    <definedName name="OSRRefE21_1_9x" localSheetId="72">'491'!$J$46:$O$46</definedName>
    <definedName name="OSRRefE21_1_9x" localSheetId="85">'492'!$J$46:$O$46</definedName>
    <definedName name="OSRRefE21_1_9x" localSheetId="91">'501'!$J$40:$O$40</definedName>
    <definedName name="OSRRefE21_1_9x" localSheetId="39">'Div 2'!$J$40:$O$40</definedName>
    <definedName name="OSRRefE21_1_9x" localSheetId="47">'Div 3'!$J$77:$O$77</definedName>
    <definedName name="OSRRefE21_1_9x" localSheetId="70">'Div 4'!$J$48:$O$48</definedName>
    <definedName name="OSRRefE21_1_9x" localSheetId="90">'Div 5'!$J$40:$O$40</definedName>
    <definedName name="OSRRefE21_1_9x" localSheetId="61">'Div 6'!$J$54:$O$54</definedName>
    <definedName name="OSRRefE21_1_9x" localSheetId="2">Summary!$J$85:$O$85</definedName>
    <definedName name="OSRRefE21_10_0x" localSheetId="41">'201'!$J$58:$O$58</definedName>
    <definedName name="OSRRefE21_10_0x" localSheetId="42">'202'!$J$58:$O$58</definedName>
    <definedName name="OSRRefE21_10_0x" localSheetId="43">'203'!$J$60:$O$60</definedName>
    <definedName name="OSRRefE21_10_0x" localSheetId="48">'300'!$J$93:$O$93</definedName>
    <definedName name="OSRRefE21_10_0x" localSheetId="49">'300 &amp; 317'!$J$99:$O$99</definedName>
    <definedName name="OSRRefE21_10_0x" localSheetId="50">'301'!$J$60:$O$60</definedName>
    <definedName name="OSRRefE21_10_0x" localSheetId="52">'307'!$J$70:$O$70</definedName>
    <definedName name="OSRRefE21_10_0x" localSheetId="53">'308'!$J$75:$O$75</definedName>
    <definedName name="OSRRefE21_10_0x" localSheetId="63">'310'!$J$64:$O$64</definedName>
    <definedName name="OSRRefE21_10_0x" localSheetId="71">'310 &amp; 491'!$J$67:$O$67</definedName>
    <definedName name="OSRRefE21_10_0x" localSheetId="54">'311'!$J$75:$O$75</definedName>
    <definedName name="OSRRefE21_10_0x" localSheetId="57">'315'!$J$81:$O$81</definedName>
    <definedName name="OSRRefE21_10_0x" localSheetId="60">'316'!$J$68:$O$68</definedName>
    <definedName name="OSRRefE21_10_0x" localSheetId="66">'321'!$J$65:$O$65</definedName>
    <definedName name="OSRRefE21_10_0x" localSheetId="68">'325'!$J$62:$O$62</definedName>
    <definedName name="OSRRefE21_10_0x" localSheetId="58">'326'!$J$64:$O$64</definedName>
    <definedName name="OSRRefE21_10_0x" localSheetId="51">'330'!$J$70:$O$70</definedName>
    <definedName name="OSRRefE21_10_0x" localSheetId="56">'331'!$J$81:$O$81</definedName>
    <definedName name="OSRRefE21_10_0x" localSheetId="59">'332'!$J$68:$O$68</definedName>
    <definedName name="OSRRefE21_10_0x" localSheetId="73">'405'!$J$65:$O$65</definedName>
    <definedName name="OSRRefE21_10_0x" localSheetId="75">'411'!$J$61:$O$61</definedName>
    <definedName name="OSRRefE21_10_0x" localSheetId="79">'415'!$J$64:$O$64</definedName>
    <definedName name="OSRRefE21_10_0x" localSheetId="80">'418'!$J$65:$O$65</definedName>
    <definedName name="OSRRefE21_10_0x" localSheetId="87">'433'!$J$64:$O$64</definedName>
    <definedName name="OSRRefE21_10_0x" localSheetId="88">'444'!$J$64:$O$64</definedName>
    <definedName name="OSRRefE21_10_0x" localSheetId="89">'450'!$J$64:$O$64</definedName>
    <definedName name="OSRRefE21_10_0x" localSheetId="72">'491'!$J$66:$O$66</definedName>
    <definedName name="OSRRefE21_10_0x" localSheetId="85">'492'!$J$64:$O$64</definedName>
    <definedName name="OSRRefE21_10_0x" localSheetId="91">'501'!$J$60:$O$60</definedName>
    <definedName name="OSRRefE21_10_0x" localSheetId="39">'Div 2'!$J$59:$O$59</definedName>
    <definedName name="OSRRefE21_10_0x" localSheetId="47">'Div 3'!$J$97:$O$97</definedName>
    <definedName name="OSRRefE21_10_0x" localSheetId="70">'Div 4'!$J$68:$O$68</definedName>
    <definedName name="OSRRefE21_10_0x" localSheetId="90">'Div 5'!$J$60:$O$60</definedName>
    <definedName name="OSRRefE21_10_0x" localSheetId="2">Summary!$J$105:$O$105</definedName>
    <definedName name="OSRRefE21_10_1x" localSheetId="41">'201'!$J$59:$O$59</definedName>
    <definedName name="OSRRefE21_10_1x" localSheetId="48">'300'!$J$94:$O$94</definedName>
    <definedName name="OSRRefE21_10_1x" localSheetId="49">'300 &amp; 317'!$J$100:$O$100</definedName>
    <definedName name="OSRRefE21_10_1x" localSheetId="52">'307'!$J$71:$O$71</definedName>
    <definedName name="OSRRefE21_10_1x" localSheetId="53">'308'!$J$76:$O$76</definedName>
    <definedName name="OSRRefE21_10_1x" localSheetId="54">'311'!$J$76:$O$76</definedName>
    <definedName name="OSRRefE21_10_1x" localSheetId="51">'330'!$J$71:$O$71</definedName>
    <definedName name="OSRRefE21_10_1x" localSheetId="73">'405'!$J$66:$O$66</definedName>
    <definedName name="OSRRefE21_10_1x" localSheetId="47">'Div 3'!$J$98:$O$98</definedName>
    <definedName name="OSRRefE21_10_1x" localSheetId="2">Summary!$J$106:$O$106</definedName>
    <definedName name="OSRRefE21_10_2x" localSheetId="73">'405'!$J$67:$O$67</definedName>
    <definedName name="OSRRefE21_10x_0" localSheetId="41">'201'!$J$58:$J$59</definedName>
    <definedName name="OSRRefE21_10x_0" localSheetId="42">'202'!$J$58</definedName>
    <definedName name="OSRRefE21_10x_0" localSheetId="43">'203'!$J$60</definedName>
    <definedName name="OSRRefE21_10x_0" localSheetId="48">'300'!$J$93:$J$94</definedName>
    <definedName name="OSRRefE21_10x_0" localSheetId="49">'300 &amp; 317'!$J$99:$J$100</definedName>
    <definedName name="OSRRefE21_10x_0" localSheetId="50">'301'!$J$60</definedName>
    <definedName name="OSRRefE21_10x_0" localSheetId="52">'307'!$J$70:$J$71</definedName>
    <definedName name="OSRRefE21_10x_0" localSheetId="53">'308'!$J$75:$J$76</definedName>
    <definedName name="OSRRefE21_10x_0" localSheetId="63">'310'!$J$64</definedName>
    <definedName name="OSRRefE21_10x_0" localSheetId="71">'310 &amp; 491'!$J$67</definedName>
    <definedName name="OSRRefE21_10x_0" localSheetId="54">'311'!$J$75:$J$76</definedName>
    <definedName name="OSRRefE21_10x_0" localSheetId="57">'315'!$J$81</definedName>
    <definedName name="OSRRefE21_10x_0" localSheetId="60">'316'!$J$68</definedName>
    <definedName name="OSRRefE21_10x_0" localSheetId="66">'321'!$J$65</definedName>
    <definedName name="OSRRefE21_10x_0" localSheetId="68">'325'!$J$62</definedName>
    <definedName name="OSRRefE21_10x_0" localSheetId="58">'326'!$J$64</definedName>
    <definedName name="OSRRefE21_10x_0" localSheetId="51">'330'!$J$70:$J$71</definedName>
    <definedName name="OSRRefE21_10x_0" localSheetId="56">'331'!$J$81</definedName>
    <definedName name="OSRRefE21_10x_0" localSheetId="59">'332'!$J$68</definedName>
    <definedName name="OSRRefE21_10x_0" localSheetId="73">'405'!$J$65:$J$67</definedName>
    <definedName name="OSRRefE21_10x_0" localSheetId="75">'411'!$J$61</definedName>
    <definedName name="OSRRefE21_10x_0" localSheetId="79">'415'!$J$64</definedName>
    <definedName name="OSRRefE21_10x_0" localSheetId="80">'418'!$J$65</definedName>
    <definedName name="OSRRefE21_10x_0" localSheetId="87">'433'!$J$64</definedName>
    <definedName name="OSRRefE21_10x_0" localSheetId="88">'444'!$J$64</definedName>
    <definedName name="OSRRefE21_10x_0" localSheetId="89">'450'!$J$64</definedName>
    <definedName name="OSRRefE21_10x_0" localSheetId="72">'491'!$J$66</definedName>
    <definedName name="OSRRefE21_10x_0" localSheetId="85">'492'!$J$64</definedName>
    <definedName name="OSRRefE21_10x_0" localSheetId="91">'501'!$J$60</definedName>
    <definedName name="OSRRefE21_10x_0" localSheetId="39">'Div 2'!$J$59</definedName>
    <definedName name="OSRRefE21_10x_0" localSheetId="47">'Div 3'!$J$97:$J$98</definedName>
    <definedName name="OSRRefE21_10x_0" localSheetId="70">'Div 4'!$J$68</definedName>
    <definedName name="OSRRefE21_10x_0" localSheetId="90">'Div 5'!$J$60</definedName>
    <definedName name="OSRRefE21_10x_0" localSheetId="2">Summary!$J$105:$J$106</definedName>
    <definedName name="OSRRefE21_10x_1" localSheetId="41">'201'!$K$58:$K$59</definedName>
    <definedName name="OSRRefE21_10x_1" localSheetId="42">'202'!$K$58</definedName>
    <definedName name="OSRRefE21_10x_1" localSheetId="43">'203'!$K$60</definedName>
    <definedName name="OSRRefE21_10x_1" localSheetId="48">'300'!$K$93:$K$94</definedName>
    <definedName name="OSRRefE21_10x_1" localSheetId="49">'300 &amp; 317'!$K$99:$K$100</definedName>
    <definedName name="OSRRefE21_10x_1" localSheetId="50">'301'!$K$60</definedName>
    <definedName name="OSRRefE21_10x_1" localSheetId="52">'307'!$K$70:$K$71</definedName>
    <definedName name="OSRRefE21_10x_1" localSheetId="53">'308'!$K$75:$K$76</definedName>
    <definedName name="OSRRefE21_10x_1" localSheetId="63">'310'!$K$64</definedName>
    <definedName name="OSRRefE21_10x_1" localSheetId="71">'310 &amp; 491'!$K$67</definedName>
    <definedName name="OSRRefE21_10x_1" localSheetId="54">'311'!$K$75:$K$76</definedName>
    <definedName name="OSRRefE21_10x_1" localSheetId="57">'315'!$K$81</definedName>
    <definedName name="OSRRefE21_10x_1" localSheetId="60">'316'!$K$68</definedName>
    <definedName name="OSRRefE21_10x_1" localSheetId="66">'321'!$K$65</definedName>
    <definedName name="OSRRefE21_10x_1" localSheetId="68">'325'!$K$62</definedName>
    <definedName name="OSRRefE21_10x_1" localSheetId="58">'326'!$K$64</definedName>
    <definedName name="OSRRefE21_10x_1" localSheetId="51">'330'!$K$70:$K$71</definedName>
    <definedName name="OSRRefE21_10x_1" localSheetId="56">'331'!$K$81</definedName>
    <definedName name="OSRRefE21_10x_1" localSheetId="59">'332'!$K$68</definedName>
    <definedName name="OSRRefE21_10x_1" localSheetId="73">'405'!$K$65:$K$67</definedName>
    <definedName name="OSRRefE21_10x_1" localSheetId="75">'411'!$K$61</definedName>
    <definedName name="OSRRefE21_10x_1" localSheetId="79">'415'!$K$64</definedName>
    <definedName name="OSRRefE21_10x_1" localSheetId="80">'418'!$K$65</definedName>
    <definedName name="OSRRefE21_10x_1" localSheetId="87">'433'!$K$64</definedName>
    <definedName name="OSRRefE21_10x_1" localSheetId="88">'444'!$K$64</definedName>
    <definedName name="OSRRefE21_10x_1" localSheetId="89">'450'!$K$64</definedName>
    <definedName name="OSRRefE21_10x_1" localSheetId="72">'491'!$K$66</definedName>
    <definedName name="OSRRefE21_10x_1" localSheetId="85">'492'!$K$64</definedName>
    <definedName name="OSRRefE21_10x_1" localSheetId="91">'501'!$K$60</definedName>
    <definedName name="OSRRefE21_10x_1" localSheetId="39">'Div 2'!$K$59</definedName>
    <definedName name="OSRRefE21_10x_1" localSheetId="47">'Div 3'!$K$97:$K$98</definedName>
    <definedName name="OSRRefE21_10x_1" localSheetId="70">'Div 4'!$K$68</definedName>
    <definedName name="OSRRefE21_10x_1" localSheetId="90">'Div 5'!$K$60</definedName>
    <definedName name="OSRRefE21_10x_1" localSheetId="2">Summary!$K$105:$K$106</definedName>
    <definedName name="OSRRefE21_10x_2" localSheetId="41">'201'!$L$58:$L$59</definedName>
    <definedName name="OSRRefE21_10x_2" localSheetId="42">'202'!$L$58</definedName>
    <definedName name="OSRRefE21_10x_2" localSheetId="43">'203'!$L$60</definedName>
    <definedName name="OSRRefE21_10x_2" localSheetId="48">'300'!$L$93:$L$94</definedName>
    <definedName name="OSRRefE21_10x_2" localSheetId="49">'300 &amp; 317'!$L$99:$L$100</definedName>
    <definedName name="OSRRefE21_10x_2" localSheetId="50">'301'!$L$60</definedName>
    <definedName name="OSRRefE21_10x_2" localSheetId="52">'307'!$L$70:$L$71</definedName>
    <definedName name="OSRRefE21_10x_2" localSheetId="53">'308'!$L$75:$L$76</definedName>
    <definedName name="OSRRefE21_10x_2" localSheetId="63">'310'!$L$64</definedName>
    <definedName name="OSRRefE21_10x_2" localSheetId="71">'310 &amp; 491'!$L$67</definedName>
    <definedName name="OSRRefE21_10x_2" localSheetId="54">'311'!$L$75:$L$76</definedName>
    <definedName name="OSRRefE21_10x_2" localSheetId="57">'315'!$L$81</definedName>
    <definedName name="OSRRefE21_10x_2" localSheetId="60">'316'!$L$68</definedName>
    <definedName name="OSRRefE21_10x_2" localSheetId="66">'321'!$L$65</definedName>
    <definedName name="OSRRefE21_10x_2" localSheetId="68">'325'!$L$62</definedName>
    <definedName name="OSRRefE21_10x_2" localSheetId="58">'326'!$L$64</definedName>
    <definedName name="OSRRefE21_10x_2" localSheetId="51">'330'!$L$70:$L$71</definedName>
    <definedName name="OSRRefE21_10x_2" localSheetId="56">'331'!$L$81</definedName>
    <definedName name="OSRRefE21_10x_2" localSheetId="59">'332'!$L$68</definedName>
    <definedName name="OSRRefE21_10x_2" localSheetId="73">'405'!$L$65:$L$67</definedName>
    <definedName name="OSRRefE21_10x_2" localSheetId="75">'411'!$L$61</definedName>
    <definedName name="OSRRefE21_10x_2" localSheetId="79">'415'!$L$64</definedName>
    <definedName name="OSRRefE21_10x_2" localSheetId="80">'418'!$L$65</definedName>
    <definedName name="OSRRefE21_10x_2" localSheetId="87">'433'!$L$64</definedName>
    <definedName name="OSRRefE21_10x_2" localSheetId="88">'444'!$L$64</definedName>
    <definedName name="OSRRefE21_10x_2" localSheetId="89">'450'!$L$64</definedName>
    <definedName name="OSRRefE21_10x_2" localSheetId="72">'491'!$L$66</definedName>
    <definedName name="OSRRefE21_10x_2" localSheetId="85">'492'!$L$64</definedName>
    <definedName name="OSRRefE21_10x_2" localSheetId="91">'501'!$L$60</definedName>
    <definedName name="OSRRefE21_10x_2" localSheetId="39">'Div 2'!$L$59</definedName>
    <definedName name="OSRRefE21_10x_2" localSheetId="47">'Div 3'!$L$97:$L$98</definedName>
    <definedName name="OSRRefE21_10x_2" localSheetId="70">'Div 4'!$L$68</definedName>
    <definedName name="OSRRefE21_10x_2" localSheetId="90">'Div 5'!$L$60</definedName>
    <definedName name="OSRRefE21_10x_2" localSheetId="2">Summary!$L$105:$L$106</definedName>
    <definedName name="OSRRefE21_10x_3" localSheetId="41">'201'!$M$58:$M$59</definedName>
    <definedName name="OSRRefE21_10x_3" localSheetId="42">'202'!$M$58</definedName>
    <definedName name="OSRRefE21_10x_3" localSheetId="43">'203'!$M$60</definedName>
    <definedName name="OSRRefE21_10x_3" localSheetId="48">'300'!$M$93:$M$94</definedName>
    <definedName name="OSRRefE21_10x_3" localSheetId="49">'300 &amp; 317'!$M$99:$M$100</definedName>
    <definedName name="OSRRefE21_10x_3" localSheetId="50">'301'!$M$60</definedName>
    <definedName name="OSRRefE21_10x_3" localSheetId="52">'307'!$M$70:$M$71</definedName>
    <definedName name="OSRRefE21_10x_3" localSheetId="53">'308'!$M$75:$M$76</definedName>
    <definedName name="OSRRefE21_10x_3" localSheetId="63">'310'!$M$64</definedName>
    <definedName name="OSRRefE21_10x_3" localSheetId="71">'310 &amp; 491'!$M$67</definedName>
    <definedName name="OSRRefE21_10x_3" localSheetId="54">'311'!$M$75:$M$76</definedName>
    <definedName name="OSRRefE21_10x_3" localSheetId="57">'315'!$M$81</definedName>
    <definedName name="OSRRefE21_10x_3" localSheetId="60">'316'!$M$68</definedName>
    <definedName name="OSRRefE21_10x_3" localSheetId="66">'321'!$M$65</definedName>
    <definedName name="OSRRefE21_10x_3" localSheetId="68">'325'!$M$62</definedName>
    <definedName name="OSRRefE21_10x_3" localSheetId="58">'326'!$M$64</definedName>
    <definedName name="OSRRefE21_10x_3" localSheetId="51">'330'!$M$70:$M$71</definedName>
    <definedName name="OSRRefE21_10x_3" localSheetId="56">'331'!$M$81</definedName>
    <definedName name="OSRRefE21_10x_3" localSheetId="59">'332'!$M$68</definedName>
    <definedName name="OSRRefE21_10x_3" localSheetId="73">'405'!$M$65:$M$67</definedName>
    <definedName name="OSRRefE21_10x_3" localSheetId="75">'411'!$M$61</definedName>
    <definedName name="OSRRefE21_10x_3" localSheetId="79">'415'!$M$64</definedName>
    <definedName name="OSRRefE21_10x_3" localSheetId="80">'418'!$M$65</definedName>
    <definedName name="OSRRefE21_10x_3" localSheetId="87">'433'!$M$64</definedName>
    <definedName name="OSRRefE21_10x_3" localSheetId="88">'444'!$M$64</definedName>
    <definedName name="OSRRefE21_10x_3" localSheetId="89">'450'!$M$64</definedName>
    <definedName name="OSRRefE21_10x_3" localSheetId="72">'491'!$M$66</definedName>
    <definedName name="OSRRefE21_10x_3" localSheetId="85">'492'!$M$64</definedName>
    <definedName name="OSRRefE21_10x_3" localSheetId="91">'501'!$M$60</definedName>
    <definedName name="OSRRefE21_10x_3" localSheetId="39">'Div 2'!$M$59</definedName>
    <definedName name="OSRRefE21_10x_3" localSheetId="47">'Div 3'!$M$97:$M$98</definedName>
    <definedName name="OSRRefE21_10x_3" localSheetId="70">'Div 4'!$M$68</definedName>
    <definedName name="OSRRefE21_10x_3" localSheetId="90">'Div 5'!$M$60</definedName>
    <definedName name="OSRRefE21_10x_3" localSheetId="2">Summary!$M$105:$M$106</definedName>
    <definedName name="OSRRefE21_10x_4" localSheetId="41">'201'!$N$58:$N$59</definedName>
    <definedName name="OSRRefE21_10x_4" localSheetId="42">'202'!$N$58</definedName>
    <definedName name="OSRRefE21_10x_4" localSheetId="43">'203'!$N$60</definedName>
    <definedName name="OSRRefE21_10x_4" localSheetId="48">'300'!$N$93:$N$94</definedName>
    <definedName name="OSRRefE21_10x_4" localSheetId="49">'300 &amp; 317'!$N$99:$N$100</definedName>
    <definedName name="OSRRefE21_10x_4" localSheetId="50">'301'!$N$60</definedName>
    <definedName name="OSRRefE21_10x_4" localSheetId="52">'307'!$N$70:$N$71</definedName>
    <definedName name="OSRRefE21_10x_4" localSheetId="53">'308'!$N$75:$N$76</definedName>
    <definedName name="OSRRefE21_10x_4" localSheetId="63">'310'!$N$64</definedName>
    <definedName name="OSRRefE21_10x_4" localSheetId="71">'310 &amp; 491'!$N$67</definedName>
    <definedName name="OSRRefE21_10x_4" localSheetId="54">'311'!$N$75:$N$76</definedName>
    <definedName name="OSRRefE21_10x_4" localSheetId="57">'315'!$N$81</definedName>
    <definedName name="OSRRefE21_10x_4" localSheetId="60">'316'!$N$68</definedName>
    <definedName name="OSRRefE21_10x_4" localSheetId="66">'321'!$N$65</definedName>
    <definedName name="OSRRefE21_10x_4" localSheetId="68">'325'!$N$62</definedName>
    <definedName name="OSRRefE21_10x_4" localSheetId="58">'326'!$N$64</definedName>
    <definedName name="OSRRefE21_10x_4" localSheetId="51">'330'!$N$70:$N$71</definedName>
    <definedName name="OSRRefE21_10x_4" localSheetId="56">'331'!$N$81</definedName>
    <definedName name="OSRRefE21_10x_4" localSheetId="59">'332'!$N$68</definedName>
    <definedName name="OSRRefE21_10x_4" localSheetId="73">'405'!$N$65:$N$67</definedName>
    <definedName name="OSRRefE21_10x_4" localSheetId="75">'411'!$N$61</definedName>
    <definedName name="OSRRefE21_10x_4" localSheetId="79">'415'!$N$64</definedName>
    <definedName name="OSRRefE21_10x_4" localSheetId="80">'418'!$N$65</definedName>
    <definedName name="OSRRefE21_10x_4" localSheetId="87">'433'!$N$64</definedName>
    <definedName name="OSRRefE21_10x_4" localSheetId="88">'444'!$N$64</definedName>
    <definedName name="OSRRefE21_10x_4" localSheetId="89">'450'!$N$64</definedName>
    <definedName name="OSRRefE21_10x_4" localSheetId="72">'491'!$N$66</definedName>
    <definedName name="OSRRefE21_10x_4" localSheetId="85">'492'!$N$64</definedName>
    <definedName name="OSRRefE21_10x_4" localSheetId="91">'501'!$N$60</definedName>
    <definedName name="OSRRefE21_10x_4" localSheetId="39">'Div 2'!$N$59</definedName>
    <definedName name="OSRRefE21_10x_4" localSheetId="47">'Div 3'!$N$97:$N$98</definedName>
    <definedName name="OSRRefE21_10x_4" localSheetId="70">'Div 4'!$N$68</definedName>
    <definedName name="OSRRefE21_10x_4" localSheetId="90">'Div 5'!$N$60</definedName>
    <definedName name="OSRRefE21_10x_4" localSheetId="2">Summary!$N$105:$N$106</definedName>
    <definedName name="OSRRefE21_10x_5" localSheetId="41">'201'!$O$58:$O$59</definedName>
    <definedName name="OSRRefE21_10x_5" localSheetId="42">'202'!$O$58</definedName>
    <definedName name="OSRRefE21_10x_5" localSheetId="43">'203'!$O$60</definedName>
    <definedName name="OSRRefE21_10x_5" localSheetId="48">'300'!$O$93:$O$94</definedName>
    <definedName name="OSRRefE21_10x_5" localSheetId="49">'300 &amp; 317'!$O$99:$O$100</definedName>
    <definedName name="OSRRefE21_10x_5" localSheetId="50">'301'!$O$60</definedName>
    <definedName name="OSRRefE21_10x_5" localSheetId="52">'307'!$O$70:$O$71</definedName>
    <definedName name="OSRRefE21_10x_5" localSheetId="53">'308'!$O$75:$O$76</definedName>
    <definedName name="OSRRefE21_10x_5" localSheetId="63">'310'!$O$64</definedName>
    <definedName name="OSRRefE21_10x_5" localSheetId="71">'310 &amp; 491'!$O$67</definedName>
    <definedName name="OSRRefE21_10x_5" localSheetId="54">'311'!$O$75:$O$76</definedName>
    <definedName name="OSRRefE21_10x_5" localSheetId="57">'315'!$O$81</definedName>
    <definedName name="OSRRefE21_10x_5" localSheetId="60">'316'!$O$68</definedName>
    <definedName name="OSRRefE21_10x_5" localSheetId="66">'321'!$O$65</definedName>
    <definedName name="OSRRefE21_10x_5" localSheetId="68">'325'!$O$62</definedName>
    <definedName name="OSRRefE21_10x_5" localSheetId="58">'326'!$O$64</definedName>
    <definedName name="OSRRefE21_10x_5" localSheetId="51">'330'!$O$70:$O$71</definedName>
    <definedName name="OSRRefE21_10x_5" localSheetId="56">'331'!$O$81</definedName>
    <definedName name="OSRRefE21_10x_5" localSheetId="59">'332'!$O$68</definedName>
    <definedName name="OSRRefE21_10x_5" localSheetId="73">'405'!$O$65:$O$67</definedName>
    <definedName name="OSRRefE21_10x_5" localSheetId="75">'411'!$O$61</definedName>
    <definedName name="OSRRefE21_10x_5" localSheetId="79">'415'!$O$64</definedName>
    <definedName name="OSRRefE21_10x_5" localSheetId="80">'418'!$O$65</definedName>
    <definedName name="OSRRefE21_10x_5" localSheetId="87">'433'!$O$64</definedName>
    <definedName name="OSRRefE21_10x_5" localSheetId="88">'444'!$O$64</definedName>
    <definedName name="OSRRefE21_10x_5" localSheetId="89">'450'!$O$64</definedName>
    <definedName name="OSRRefE21_10x_5" localSheetId="72">'491'!$O$66</definedName>
    <definedName name="OSRRefE21_10x_5" localSheetId="85">'492'!$O$64</definedName>
    <definedName name="OSRRefE21_10x_5" localSheetId="91">'501'!$O$60</definedName>
    <definedName name="OSRRefE21_10x_5" localSheetId="39">'Div 2'!$O$59</definedName>
    <definedName name="OSRRefE21_10x_5" localSheetId="47">'Div 3'!$O$97:$O$98</definedName>
    <definedName name="OSRRefE21_10x_5" localSheetId="70">'Div 4'!$O$68</definedName>
    <definedName name="OSRRefE21_10x_5" localSheetId="90">'Div 5'!$O$60</definedName>
    <definedName name="OSRRefE21_10x_5" localSheetId="2">Summary!$O$105:$O$106</definedName>
    <definedName name="OSRRefE21_11_0x" localSheetId="41">'201'!$J$61:$O$61</definedName>
    <definedName name="OSRRefE21_11_0x" localSheetId="42">'202'!$J$60:$O$60</definedName>
    <definedName name="OSRRefE21_11_0x" localSheetId="43">'203'!$J$62:$O$62</definedName>
    <definedName name="OSRRefE21_11_0x" localSheetId="48">'300'!$J$96:$O$96</definedName>
    <definedName name="OSRRefE21_11_0x" localSheetId="49">'300 &amp; 317'!$J$102:$O$102</definedName>
    <definedName name="OSRRefE21_11_0x" localSheetId="50">'301'!$J$62:$O$62</definedName>
    <definedName name="OSRRefE21_11_0x" localSheetId="52">'307'!$J$73:$O$73</definedName>
    <definedName name="OSRRefE21_11_0x" localSheetId="53">'308'!$J$78:$O$78</definedName>
    <definedName name="OSRRefE21_11_0x" localSheetId="63">'310'!$J$66:$O$66</definedName>
    <definedName name="OSRRefE21_11_0x" localSheetId="71">'310 &amp; 491'!$J$69:$O$69</definedName>
    <definedName name="OSRRefE21_11_0x" localSheetId="54">'311'!$J$78:$O$78</definedName>
    <definedName name="OSRRefE21_11_0x" localSheetId="57">'315'!$J$83:$O$83</definedName>
    <definedName name="OSRRefE21_11_0x" localSheetId="66">'321'!$J$67:$O$67</definedName>
    <definedName name="OSRRefE21_11_0x" localSheetId="68">'325'!$J$64:$O$64</definedName>
    <definedName name="OSRRefE21_11_0x" localSheetId="58">'326'!$J$66:$O$66</definedName>
    <definedName name="OSRRefE21_11_0x" localSheetId="51">'330'!$J$73:$O$73</definedName>
    <definedName name="OSRRefE21_11_0x" localSheetId="56">'331'!$J$83:$O$83</definedName>
    <definedName name="OSRRefE21_11_0x" localSheetId="73">'405'!$J$69:$O$69</definedName>
    <definedName name="OSRRefE21_11_0x" localSheetId="75">'411'!$J$63:$O$63</definedName>
    <definedName name="OSRRefE21_11_0x" localSheetId="79">'415'!$J$66:$O$66</definedName>
    <definedName name="OSRRefE21_11_0x" localSheetId="80">'418'!$J$67:$O$67</definedName>
    <definedName name="OSRRefE21_11_0x" localSheetId="87">'433'!$J$66:$O$66</definedName>
    <definedName name="OSRRefE21_11_0x" localSheetId="88">'444'!$J$66:$O$66</definedName>
    <definedName name="OSRRefE21_11_0x" localSheetId="89">'450'!$J$66:$O$66</definedName>
    <definedName name="OSRRefE21_11_0x" localSheetId="72">'491'!$J$68:$O$68</definedName>
    <definedName name="OSRRefE21_11_0x" localSheetId="85">'492'!$J$66:$O$66</definedName>
    <definedName name="OSRRefE21_11_0x" localSheetId="91">'501'!$J$62:$O$62</definedName>
    <definedName name="OSRRefE21_11_0x" localSheetId="39">'Div 2'!$J$61:$O$61</definedName>
    <definedName name="OSRRefE21_11_0x" localSheetId="47">'Div 3'!$J$100:$O$100</definedName>
    <definedName name="OSRRefE21_11_0x" localSheetId="70">'Div 4'!$J$70:$O$70</definedName>
    <definedName name="OSRRefE21_11_0x" localSheetId="90">'Div 5'!$J$62:$O$62</definedName>
    <definedName name="OSRRefE21_11_0x" localSheetId="2">Summary!$J$108:$O$108</definedName>
    <definedName name="OSRRefE21_11_1x" localSheetId="43">'203'!$J$63:$O$63</definedName>
    <definedName name="OSRRefE21_11_1x" localSheetId="52">'307'!$J$74:$O$74</definedName>
    <definedName name="OSRRefE21_11_1x" localSheetId="53">'308'!$J$79:$O$79</definedName>
    <definedName name="OSRRefE21_11_1x" localSheetId="63">'310'!$J$67:$O$67</definedName>
    <definedName name="OSRRefE21_11_1x" localSheetId="54">'311'!$J$79:$O$79</definedName>
    <definedName name="OSRRefE21_11_1x" localSheetId="68">'325'!$J$65:$O$65</definedName>
    <definedName name="OSRRefE21_11_1x" localSheetId="58">'326'!$J$67:$O$67</definedName>
    <definedName name="OSRRefE21_11_1x" localSheetId="51">'330'!$J$74:$O$74</definedName>
    <definedName name="OSRRefE21_11_1x" localSheetId="79">'415'!$J$67:$O$67</definedName>
    <definedName name="OSRRefE21_11_1x" localSheetId="80">'418'!$J$68:$O$68</definedName>
    <definedName name="OSRRefE21_11_1x" localSheetId="87">'433'!$J$67:$O$67</definedName>
    <definedName name="OSRRefE21_11_1x" localSheetId="88">'444'!$J$67:$O$67</definedName>
    <definedName name="OSRRefE21_11_1x" localSheetId="89">'450'!$J$67:$O$67</definedName>
    <definedName name="OSRRefE21_11_1x" localSheetId="91">'501'!$J$63:$O$63</definedName>
    <definedName name="OSRRefE21_11_1x" localSheetId="90">'Div 5'!$J$63:$O$63</definedName>
    <definedName name="OSRRefE21_11_1x" localSheetId="2">Summary!$J$109:$O$109</definedName>
    <definedName name="OSRRefE21_11_2x" localSheetId="43">'203'!$J$64:$O$64</definedName>
    <definedName name="OSRRefE21_11_2x" localSheetId="52">'307'!$J$75:$O$75</definedName>
    <definedName name="OSRRefE21_11_2x" localSheetId="51">'330'!$J$75:$O$75</definedName>
    <definedName name="OSRRefE21_11_2x" localSheetId="80">'418'!$J$69:$O$69</definedName>
    <definedName name="OSRRefE21_11_2x" localSheetId="87">'433'!$J$68:$O$68</definedName>
    <definedName name="OSRRefE21_11_2x" localSheetId="91">'501'!$J$64:$O$64</definedName>
    <definedName name="OSRRefE21_11_2x" localSheetId="90">'Div 5'!$J$64:$O$64</definedName>
    <definedName name="OSRRefE21_11_3x" localSheetId="43">'203'!$J$65:$O$65</definedName>
    <definedName name="OSRRefE21_11_3x" localSheetId="52">'307'!$J$76:$O$76</definedName>
    <definedName name="OSRRefE21_11_3x" localSheetId="51">'330'!$J$76:$O$76</definedName>
    <definedName name="OSRRefE21_11_3x" localSheetId="80">'418'!$J$70:$O$70</definedName>
    <definedName name="OSRRefE21_11_4x" localSheetId="80">'418'!$J$71:$O$71</definedName>
    <definedName name="OSRRefE21_11_5x" localSheetId="80">'418'!$J$72:$O$72</definedName>
    <definedName name="OSRRefE21_11_6x" localSheetId="80">'418'!$J$73:$O$73</definedName>
    <definedName name="OSRRefE21_11x_0" localSheetId="41">'201'!$J$61</definedName>
    <definedName name="OSRRefE21_11x_0" localSheetId="42">'202'!$J$60</definedName>
    <definedName name="OSRRefE21_11x_0" localSheetId="43">'203'!$J$62:$J$65</definedName>
    <definedName name="OSRRefE21_11x_0" localSheetId="48">'300'!$J$96</definedName>
    <definedName name="OSRRefE21_11x_0" localSheetId="49">'300 &amp; 317'!$J$102</definedName>
    <definedName name="OSRRefE21_11x_0" localSheetId="50">'301'!$J$62</definedName>
    <definedName name="OSRRefE21_11x_0" localSheetId="52">'307'!$J$73:$J$76</definedName>
    <definedName name="OSRRefE21_11x_0" localSheetId="53">'308'!$J$78:$J$79</definedName>
    <definedName name="OSRRefE21_11x_0" localSheetId="63">'310'!$J$66:$J$67</definedName>
    <definedName name="OSRRefE21_11x_0" localSheetId="71">'310 &amp; 491'!$J$69</definedName>
    <definedName name="OSRRefE21_11x_0" localSheetId="54">'311'!$J$78:$J$79</definedName>
    <definedName name="OSRRefE21_11x_0" localSheetId="57">'315'!$J$83</definedName>
    <definedName name="OSRRefE21_11x_0" localSheetId="66">'321'!$J$67</definedName>
    <definedName name="OSRRefE21_11x_0" localSheetId="68">'325'!$J$64:$J$65</definedName>
    <definedName name="OSRRefE21_11x_0" localSheetId="58">'326'!$J$66:$J$67</definedName>
    <definedName name="OSRRefE21_11x_0" localSheetId="51">'330'!$J$73:$J$76</definedName>
    <definedName name="OSRRefE21_11x_0" localSheetId="56">'331'!$J$83</definedName>
    <definedName name="OSRRefE21_11x_0" localSheetId="73">'405'!$J$69</definedName>
    <definedName name="OSRRefE21_11x_0" localSheetId="75">'411'!$J$63</definedName>
    <definedName name="OSRRefE21_11x_0" localSheetId="79">'415'!$J$66:$J$67</definedName>
    <definedName name="OSRRefE21_11x_0" localSheetId="80">'418'!$J$67:$J$73</definedName>
    <definedName name="OSRRefE21_11x_0" localSheetId="87">'433'!$J$66:$J$68</definedName>
    <definedName name="OSRRefE21_11x_0" localSheetId="88">'444'!$J$66:$J$67</definedName>
    <definedName name="OSRRefE21_11x_0" localSheetId="89">'450'!$J$66:$J$67</definedName>
    <definedName name="OSRRefE21_11x_0" localSheetId="72">'491'!$J$68</definedName>
    <definedName name="OSRRefE21_11x_0" localSheetId="85">'492'!$J$66</definedName>
    <definedName name="OSRRefE21_11x_0" localSheetId="91">'501'!$J$62:$J$64</definedName>
    <definedName name="OSRRefE21_11x_0" localSheetId="39">'Div 2'!$J$61</definedName>
    <definedName name="OSRRefE21_11x_0" localSheetId="47">'Div 3'!$J$100</definedName>
    <definedName name="OSRRefE21_11x_0" localSheetId="70">'Div 4'!$J$70</definedName>
    <definedName name="OSRRefE21_11x_0" localSheetId="90">'Div 5'!$J$62:$J$64</definedName>
    <definedName name="OSRRefE21_11x_0" localSheetId="2">Summary!$J$108:$J$109</definedName>
    <definedName name="OSRRefE21_11x_1" localSheetId="41">'201'!$K$61</definedName>
    <definedName name="OSRRefE21_11x_1" localSheetId="42">'202'!$K$60</definedName>
    <definedName name="OSRRefE21_11x_1" localSheetId="43">'203'!$K$62:$K$65</definedName>
    <definedName name="OSRRefE21_11x_1" localSheetId="48">'300'!$K$96</definedName>
    <definedName name="OSRRefE21_11x_1" localSheetId="49">'300 &amp; 317'!$K$102</definedName>
    <definedName name="OSRRefE21_11x_1" localSheetId="50">'301'!$K$62</definedName>
    <definedName name="OSRRefE21_11x_1" localSheetId="52">'307'!$K$73:$K$76</definedName>
    <definedName name="OSRRefE21_11x_1" localSheetId="53">'308'!$K$78:$K$79</definedName>
    <definedName name="OSRRefE21_11x_1" localSheetId="63">'310'!$K$66:$K$67</definedName>
    <definedName name="OSRRefE21_11x_1" localSheetId="71">'310 &amp; 491'!$K$69</definedName>
    <definedName name="OSRRefE21_11x_1" localSheetId="54">'311'!$K$78:$K$79</definedName>
    <definedName name="OSRRefE21_11x_1" localSheetId="57">'315'!$K$83</definedName>
    <definedName name="OSRRefE21_11x_1" localSheetId="66">'321'!$K$67</definedName>
    <definedName name="OSRRefE21_11x_1" localSheetId="68">'325'!$K$64:$K$65</definedName>
    <definedName name="OSRRefE21_11x_1" localSheetId="58">'326'!$K$66:$K$67</definedName>
    <definedName name="OSRRefE21_11x_1" localSheetId="51">'330'!$K$73:$K$76</definedName>
    <definedName name="OSRRefE21_11x_1" localSheetId="56">'331'!$K$83</definedName>
    <definedName name="OSRRefE21_11x_1" localSheetId="73">'405'!$K$69</definedName>
    <definedName name="OSRRefE21_11x_1" localSheetId="75">'411'!$K$63</definedName>
    <definedName name="OSRRefE21_11x_1" localSheetId="79">'415'!$K$66:$K$67</definedName>
    <definedName name="OSRRefE21_11x_1" localSheetId="80">'418'!$K$67:$K$73</definedName>
    <definedName name="OSRRefE21_11x_1" localSheetId="87">'433'!$K$66:$K$68</definedName>
    <definedName name="OSRRefE21_11x_1" localSheetId="88">'444'!$K$66:$K$67</definedName>
    <definedName name="OSRRefE21_11x_1" localSheetId="89">'450'!$K$66:$K$67</definedName>
    <definedName name="OSRRefE21_11x_1" localSheetId="72">'491'!$K$68</definedName>
    <definedName name="OSRRefE21_11x_1" localSheetId="85">'492'!$K$66</definedName>
    <definedName name="OSRRefE21_11x_1" localSheetId="91">'501'!$K$62:$K$64</definedName>
    <definedName name="OSRRefE21_11x_1" localSheetId="39">'Div 2'!$K$61</definedName>
    <definedName name="OSRRefE21_11x_1" localSheetId="47">'Div 3'!$K$100</definedName>
    <definedName name="OSRRefE21_11x_1" localSheetId="70">'Div 4'!$K$70</definedName>
    <definedName name="OSRRefE21_11x_1" localSheetId="90">'Div 5'!$K$62:$K$64</definedName>
    <definedName name="OSRRefE21_11x_1" localSheetId="2">Summary!$K$108:$K$109</definedName>
    <definedName name="OSRRefE21_11x_2" localSheetId="41">'201'!$L$61</definedName>
    <definedName name="OSRRefE21_11x_2" localSheetId="42">'202'!$L$60</definedName>
    <definedName name="OSRRefE21_11x_2" localSheetId="43">'203'!$L$62:$L$65</definedName>
    <definedName name="OSRRefE21_11x_2" localSheetId="48">'300'!$L$96</definedName>
    <definedName name="OSRRefE21_11x_2" localSheetId="49">'300 &amp; 317'!$L$102</definedName>
    <definedName name="OSRRefE21_11x_2" localSheetId="50">'301'!$L$62</definedName>
    <definedName name="OSRRefE21_11x_2" localSheetId="52">'307'!$L$73:$L$76</definedName>
    <definedName name="OSRRefE21_11x_2" localSheetId="53">'308'!$L$78:$L$79</definedName>
    <definedName name="OSRRefE21_11x_2" localSheetId="63">'310'!$L$66:$L$67</definedName>
    <definedName name="OSRRefE21_11x_2" localSheetId="71">'310 &amp; 491'!$L$69</definedName>
    <definedName name="OSRRefE21_11x_2" localSheetId="54">'311'!$L$78:$L$79</definedName>
    <definedName name="OSRRefE21_11x_2" localSheetId="57">'315'!$L$83</definedName>
    <definedName name="OSRRefE21_11x_2" localSheetId="66">'321'!$L$67</definedName>
    <definedName name="OSRRefE21_11x_2" localSheetId="68">'325'!$L$64:$L$65</definedName>
    <definedName name="OSRRefE21_11x_2" localSheetId="58">'326'!$L$66:$L$67</definedName>
    <definedName name="OSRRefE21_11x_2" localSheetId="51">'330'!$L$73:$L$76</definedName>
    <definedName name="OSRRefE21_11x_2" localSheetId="56">'331'!$L$83</definedName>
    <definedName name="OSRRefE21_11x_2" localSheetId="73">'405'!$L$69</definedName>
    <definedName name="OSRRefE21_11x_2" localSheetId="75">'411'!$L$63</definedName>
    <definedName name="OSRRefE21_11x_2" localSheetId="79">'415'!$L$66:$L$67</definedName>
    <definedName name="OSRRefE21_11x_2" localSheetId="80">'418'!$L$67:$L$73</definedName>
    <definedName name="OSRRefE21_11x_2" localSheetId="87">'433'!$L$66:$L$68</definedName>
    <definedName name="OSRRefE21_11x_2" localSheetId="88">'444'!$L$66:$L$67</definedName>
    <definedName name="OSRRefE21_11x_2" localSheetId="89">'450'!$L$66:$L$67</definedName>
    <definedName name="OSRRefE21_11x_2" localSheetId="72">'491'!$L$68</definedName>
    <definedName name="OSRRefE21_11x_2" localSheetId="85">'492'!$L$66</definedName>
    <definedName name="OSRRefE21_11x_2" localSheetId="91">'501'!$L$62:$L$64</definedName>
    <definedName name="OSRRefE21_11x_2" localSheetId="39">'Div 2'!$L$61</definedName>
    <definedName name="OSRRefE21_11x_2" localSheetId="47">'Div 3'!$L$100</definedName>
    <definedName name="OSRRefE21_11x_2" localSheetId="70">'Div 4'!$L$70</definedName>
    <definedName name="OSRRefE21_11x_2" localSheetId="90">'Div 5'!$L$62:$L$64</definedName>
    <definedName name="OSRRefE21_11x_2" localSheetId="2">Summary!$L$108:$L$109</definedName>
    <definedName name="OSRRefE21_11x_3" localSheetId="41">'201'!$M$61</definedName>
    <definedName name="OSRRefE21_11x_3" localSheetId="42">'202'!$M$60</definedName>
    <definedName name="OSRRefE21_11x_3" localSheetId="43">'203'!$M$62:$M$65</definedName>
    <definedName name="OSRRefE21_11x_3" localSheetId="48">'300'!$M$96</definedName>
    <definedName name="OSRRefE21_11x_3" localSheetId="49">'300 &amp; 317'!$M$102</definedName>
    <definedName name="OSRRefE21_11x_3" localSheetId="50">'301'!$M$62</definedName>
    <definedName name="OSRRefE21_11x_3" localSheetId="52">'307'!$M$73:$M$76</definedName>
    <definedName name="OSRRefE21_11x_3" localSheetId="53">'308'!$M$78:$M$79</definedName>
    <definedName name="OSRRefE21_11x_3" localSheetId="63">'310'!$M$66:$M$67</definedName>
    <definedName name="OSRRefE21_11x_3" localSheetId="71">'310 &amp; 491'!$M$69</definedName>
    <definedName name="OSRRefE21_11x_3" localSheetId="54">'311'!$M$78:$M$79</definedName>
    <definedName name="OSRRefE21_11x_3" localSheetId="57">'315'!$M$83</definedName>
    <definedName name="OSRRefE21_11x_3" localSheetId="66">'321'!$M$67</definedName>
    <definedName name="OSRRefE21_11x_3" localSheetId="68">'325'!$M$64:$M$65</definedName>
    <definedName name="OSRRefE21_11x_3" localSheetId="58">'326'!$M$66:$M$67</definedName>
    <definedName name="OSRRefE21_11x_3" localSheetId="51">'330'!$M$73:$M$76</definedName>
    <definedName name="OSRRefE21_11x_3" localSheetId="56">'331'!$M$83</definedName>
    <definedName name="OSRRefE21_11x_3" localSheetId="73">'405'!$M$69</definedName>
    <definedName name="OSRRefE21_11x_3" localSheetId="75">'411'!$M$63</definedName>
    <definedName name="OSRRefE21_11x_3" localSheetId="79">'415'!$M$66:$M$67</definedName>
    <definedName name="OSRRefE21_11x_3" localSheetId="80">'418'!$M$67:$M$73</definedName>
    <definedName name="OSRRefE21_11x_3" localSheetId="87">'433'!$M$66:$M$68</definedName>
    <definedName name="OSRRefE21_11x_3" localSheetId="88">'444'!$M$66:$M$67</definedName>
    <definedName name="OSRRefE21_11x_3" localSheetId="89">'450'!$M$66:$M$67</definedName>
    <definedName name="OSRRefE21_11x_3" localSheetId="72">'491'!$M$68</definedName>
    <definedName name="OSRRefE21_11x_3" localSheetId="85">'492'!$M$66</definedName>
    <definedName name="OSRRefE21_11x_3" localSheetId="91">'501'!$M$62:$M$64</definedName>
    <definedName name="OSRRefE21_11x_3" localSheetId="39">'Div 2'!$M$61</definedName>
    <definedName name="OSRRefE21_11x_3" localSheetId="47">'Div 3'!$M$100</definedName>
    <definedName name="OSRRefE21_11x_3" localSheetId="70">'Div 4'!$M$70</definedName>
    <definedName name="OSRRefE21_11x_3" localSheetId="90">'Div 5'!$M$62:$M$64</definedName>
    <definedName name="OSRRefE21_11x_3" localSheetId="2">Summary!$M$108:$M$109</definedName>
    <definedName name="OSRRefE21_11x_4" localSheetId="41">'201'!$N$61</definedName>
    <definedName name="OSRRefE21_11x_4" localSheetId="42">'202'!$N$60</definedName>
    <definedName name="OSRRefE21_11x_4" localSheetId="43">'203'!$N$62:$N$65</definedName>
    <definedName name="OSRRefE21_11x_4" localSheetId="48">'300'!$N$96</definedName>
    <definedName name="OSRRefE21_11x_4" localSheetId="49">'300 &amp; 317'!$N$102</definedName>
    <definedName name="OSRRefE21_11x_4" localSheetId="50">'301'!$N$62</definedName>
    <definedName name="OSRRefE21_11x_4" localSheetId="52">'307'!$N$73:$N$76</definedName>
    <definedName name="OSRRefE21_11x_4" localSheetId="53">'308'!$N$78:$N$79</definedName>
    <definedName name="OSRRefE21_11x_4" localSheetId="63">'310'!$N$66:$N$67</definedName>
    <definedName name="OSRRefE21_11x_4" localSheetId="71">'310 &amp; 491'!$N$69</definedName>
    <definedName name="OSRRefE21_11x_4" localSheetId="54">'311'!$N$78:$N$79</definedName>
    <definedName name="OSRRefE21_11x_4" localSheetId="57">'315'!$N$83</definedName>
    <definedName name="OSRRefE21_11x_4" localSheetId="66">'321'!$N$67</definedName>
    <definedName name="OSRRefE21_11x_4" localSheetId="68">'325'!$N$64:$N$65</definedName>
    <definedName name="OSRRefE21_11x_4" localSheetId="58">'326'!$N$66:$N$67</definedName>
    <definedName name="OSRRefE21_11x_4" localSheetId="51">'330'!$N$73:$N$76</definedName>
    <definedName name="OSRRefE21_11x_4" localSheetId="56">'331'!$N$83</definedName>
    <definedName name="OSRRefE21_11x_4" localSheetId="73">'405'!$N$69</definedName>
    <definedName name="OSRRefE21_11x_4" localSheetId="75">'411'!$N$63</definedName>
    <definedName name="OSRRefE21_11x_4" localSheetId="79">'415'!$N$66:$N$67</definedName>
    <definedName name="OSRRefE21_11x_4" localSheetId="80">'418'!$N$67:$N$73</definedName>
    <definedName name="OSRRefE21_11x_4" localSheetId="87">'433'!$N$66:$N$68</definedName>
    <definedName name="OSRRefE21_11x_4" localSheetId="88">'444'!$N$66:$N$67</definedName>
    <definedName name="OSRRefE21_11x_4" localSheetId="89">'450'!$N$66:$N$67</definedName>
    <definedName name="OSRRefE21_11x_4" localSheetId="72">'491'!$N$68</definedName>
    <definedName name="OSRRefE21_11x_4" localSheetId="85">'492'!$N$66</definedName>
    <definedName name="OSRRefE21_11x_4" localSheetId="91">'501'!$N$62:$N$64</definedName>
    <definedName name="OSRRefE21_11x_4" localSheetId="39">'Div 2'!$N$61</definedName>
    <definedName name="OSRRefE21_11x_4" localSheetId="47">'Div 3'!$N$100</definedName>
    <definedName name="OSRRefE21_11x_4" localSheetId="70">'Div 4'!$N$70</definedName>
    <definedName name="OSRRefE21_11x_4" localSheetId="90">'Div 5'!$N$62:$N$64</definedName>
    <definedName name="OSRRefE21_11x_4" localSheetId="2">Summary!$N$108:$N$109</definedName>
    <definedName name="OSRRefE21_11x_5" localSheetId="41">'201'!$O$61</definedName>
    <definedName name="OSRRefE21_11x_5" localSheetId="42">'202'!$O$60</definedName>
    <definedName name="OSRRefE21_11x_5" localSheetId="43">'203'!$O$62:$O$65</definedName>
    <definedName name="OSRRefE21_11x_5" localSheetId="48">'300'!$O$96</definedName>
    <definedName name="OSRRefE21_11x_5" localSheetId="49">'300 &amp; 317'!$O$102</definedName>
    <definedName name="OSRRefE21_11x_5" localSheetId="50">'301'!$O$62</definedName>
    <definedName name="OSRRefE21_11x_5" localSheetId="52">'307'!$O$73:$O$76</definedName>
    <definedName name="OSRRefE21_11x_5" localSheetId="53">'308'!$O$78:$O$79</definedName>
    <definedName name="OSRRefE21_11x_5" localSheetId="63">'310'!$O$66:$O$67</definedName>
    <definedName name="OSRRefE21_11x_5" localSheetId="71">'310 &amp; 491'!$O$69</definedName>
    <definedName name="OSRRefE21_11x_5" localSheetId="54">'311'!$O$78:$O$79</definedName>
    <definedName name="OSRRefE21_11x_5" localSheetId="57">'315'!$O$83</definedName>
    <definedName name="OSRRefE21_11x_5" localSheetId="66">'321'!$O$67</definedName>
    <definedName name="OSRRefE21_11x_5" localSheetId="68">'325'!$O$64:$O$65</definedName>
    <definedName name="OSRRefE21_11x_5" localSheetId="58">'326'!$O$66:$O$67</definedName>
    <definedName name="OSRRefE21_11x_5" localSheetId="51">'330'!$O$73:$O$76</definedName>
    <definedName name="OSRRefE21_11x_5" localSheetId="56">'331'!$O$83</definedName>
    <definedName name="OSRRefE21_11x_5" localSheetId="73">'405'!$O$69</definedName>
    <definedName name="OSRRefE21_11x_5" localSheetId="75">'411'!$O$63</definedName>
    <definedName name="OSRRefE21_11x_5" localSheetId="79">'415'!$O$66:$O$67</definedName>
    <definedName name="OSRRefE21_11x_5" localSheetId="80">'418'!$O$67:$O$73</definedName>
    <definedName name="OSRRefE21_11x_5" localSheetId="87">'433'!$O$66:$O$68</definedName>
    <definedName name="OSRRefE21_11x_5" localSheetId="88">'444'!$O$66:$O$67</definedName>
    <definedName name="OSRRefE21_11x_5" localSheetId="89">'450'!$O$66:$O$67</definedName>
    <definedName name="OSRRefE21_11x_5" localSheetId="72">'491'!$O$68</definedName>
    <definedName name="OSRRefE21_11x_5" localSheetId="85">'492'!$O$66</definedName>
    <definedName name="OSRRefE21_11x_5" localSheetId="91">'501'!$O$62:$O$64</definedName>
    <definedName name="OSRRefE21_11x_5" localSheetId="39">'Div 2'!$O$61</definedName>
    <definedName name="OSRRefE21_11x_5" localSheetId="47">'Div 3'!$O$100</definedName>
    <definedName name="OSRRefE21_11x_5" localSheetId="70">'Div 4'!$O$70</definedName>
    <definedName name="OSRRefE21_11x_5" localSheetId="90">'Div 5'!$O$62:$O$64</definedName>
    <definedName name="OSRRefE21_11x_5" localSheetId="2">Summary!$O$108:$O$109</definedName>
    <definedName name="OSRRefE21_12_0x" localSheetId="41">'201'!$J$63:$O$63</definedName>
    <definedName name="OSRRefE21_12_0x" localSheetId="42">'202'!$J$62:$O$62</definedName>
    <definedName name="OSRRefE21_12_0x" localSheetId="43">'203'!$J$67:$O$67</definedName>
    <definedName name="OSRRefE21_12_0x" localSheetId="48">'300'!$J$98:$O$98</definedName>
    <definedName name="OSRRefE21_12_0x" localSheetId="49">'300 &amp; 317'!$J$104:$O$104</definedName>
    <definedName name="OSRRefE21_12_0x" localSheetId="50">'301'!$J$64:$O$64</definedName>
    <definedName name="OSRRefE21_12_0x" localSheetId="52">'307'!$J$78:$O$78</definedName>
    <definedName name="OSRRefE21_12_0x" localSheetId="53">'308'!$J$81:$O$81</definedName>
    <definedName name="OSRRefE21_12_0x" localSheetId="63">'310'!$J$69:$O$69</definedName>
    <definedName name="OSRRefE21_12_0x" localSheetId="71">'310 &amp; 491'!$J$71:$O$71</definedName>
    <definedName name="OSRRefE21_12_0x" localSheetId="54">'311'!$J$81:$O$81</definedName>
    <definedName name="OSRRefE21_12_0x" localSheetId="57">'315'!$J$85:$O$85</definedName>
    <definedName name="OSRRefE21_12_0x" localSheetId="68">'325'!$J$67:$O$67</definedName>
    <definedName name="OSRRefE21_12_0x" localSheetId="58">'326'!$J$69:$O$69</definedName>
    <definedName name="OSRRefE21_12_0x" localSheetId="51">'330'!$J$78:$O$78</definedName>
    <definedName name="OSRRefE21_12_0x" localSheetId="56">'331'!$J$85:$O$85</definedName>
    <definedName name="OSRRefE21_12_0x" localSheetId="73">'405'!$J$71:$O$71</definedName>
    <definedName name="OSRRefE21_12_0x" localSheetId="75">'411'!$J$65:$O$65</definedName>
    <definedName name="OSRRefE21_12_0x" localSheetId="79">'415'!$J$69:$O$69</definedName>
    <definedName name="OSRRefE21_12_0x" localSheetId="80">'418'!$J$75:$O$75</definedName>
    <definedName name="OSRRefE21_12_0x" localSheetId="87">'433'!$J$70:$O$70</definedName>
    <definedName name="OSRRefE21_12_0x" localSheetId="88">'444'!$J$69:$O$69</definedName>
    <definedName name="OSRRefE21_12_0x" localSheetId="89">'450'!$J$69:$O$69</definedName>
    <definedName name="OSRRefE21_12_0x" localSheetId="72">'491'!$J$70:$O$70</definedName>
    <definedName name="OSRRefE21_12_0x" localSheetId="85">'492'!$J$68:$O$68</definedName>
    <definedName name="OSRRefE21_12_0x" localSheetId="91">'501'!$J$66:$O$66</definedName>
    <definedName name="OSRRefE21_12_0x" localSheetId="39">'Div 2'!$J$63:$O$63</definedName>
    <definedName name="OSRRefE21_12_0x" localSheetId="47">'Div 3'!$J$102:$O$102</definedName>
    <definedName name="OSRRefE21_12_0x" localSheetId="70">'Div 4'!$J$72:$O$72</definedName>
    <definedName name="OSRRefE21_12_0x" localSheetId="90">'Div 5'!$J$66:$O$66</definedName>
    <definedName name="OSRRefE21_12_0x" localSheetId="2">Summary!$J$111:$O$111</definedName>
    <definedName name="OSRRefE21_12_1x" localSheetId="41">'201'!$J$64:$O$64</definedName>
    <definedName name="OSRRefE21_12_1x" localSheetId="71">'310 &amp; 491'!$J$72:$O$72</definedName>
    <definedName name="OSRRefE21_12_1x" localSheetId="57">'315'!$J$86:$O$86</definedName>
    <definedName name="OSRRefE21_12_1x" localSheetId="68">'325'!$J$68:$O$68</definedName>
    <definedName name="OSRRefE21_12_1x" localSheetId="58">'326'!$J$70:$O$70</definedName>
    <definedName name="OSRRefE21_12_1x" localSheetId="73">'405'!$J$72:$O$72</definedName>
    <definedName name="OSRRefE21_12_1x" localSheetId="79">'415'!$J$70:$O$70</definedName>
    <definedName name="OSRRefE21_12_1x" localSheetId="80">'418'!$J$76:$O$76</definedName>
    <definedName name="OSRRefE21_12_1x" localSheetId="87">'433'!$J$71:$O$71</definedName>
    <definedName name="OSRRefE21_12_1x" localSheetId="88">'444'!$J$70:$O$70</definedName>
    <definedName name="OSRRefE21_12_1x" localSheetId="89">'450'!$J$70:$O$70</definedName>
    <definedName name="OSRRefE21_12_1x" localSheetId="72">'491'!$J$71:$O$71</definedName>
    <definedName name="OSRRefE21_12_1x" localSheetId="85">'492'!$J$69:$O$69</definedName>
    <definedName name="OSRRefE21_12_1x" localSheetId="39">'Div 2'!$J$64:$O$64</definedName>
    <definedName name="OSRRefE21_12_2x" localSheetId="71">'310 &amp; 491'!$J$73:$O$73</definedName>
    <definedName name="OSRRefE21_12_2x" localSheetId="68">'325'!$J$69:$O$69</definedName>
    <definedName name="OSRRefE21_12_2x" localSheetId="73">'405'!$J$73:$O$73</definedName>
    <definedName name="OSRRefE21_12_2x" localSheetId="79">'415'!$J$71:$O$71</definedName>
    <definedName name="OSRRefE21_12_2x" localSheetId="87">'433'!$J$72:$O$72</definedName>
    <definedName name="OSRRefE21_12_2x" localSheetId="88">'444'!$J$71:$O$71</definedName>
    <definedName name="OSRRefE21_12_2x" localSheetId="89">'450'!$J$71:$O$71</definedName>
    <definedName name="OSRRefE21_12_2x" localSheetId="72">'491'!$J$72:$O$72</definedName>
    <definedName name="OSRRefE21_12_2x" localSheetId="85">'492'!$J$70:$O$70</definedName>
    <definedName name="OSRRefE21_12_2x" localSheetId="39">'Div 2'!$J$65:$O$65</definedName>
    <definedName name="OSRRefE21_12_3x" localSheetId="71">'310 &amp; 491'!$J$74:$O$74</definedName>
    <definedName name="OSRRefE21_12_3x" localSheetId="73">'405'!$J$74:$O$74</definedName>
    <definedName name="OSRRefE21_12_3x" localSheetId="79">'415'!$J$72:$O$72</definedName>
    <definedName name="OSRRefE21_12_3x" localSheetId="87">'433'!$J$73:$O$73</definedName>
    <definedName name="OSRRefE21_12_3x" localSheetId="88">'444'!$J$72:$O$72</definedName>
    <definedName name="OSRRefE21_12_3x" localSheetId="89">'450'!$J$72:$O$72</definedName>
    <definedName name="OSRRefE21_12_3x" localSheetId="72">'491'!$J$73:$O$73</definedName>
    <definedName name="OSRRefE21_12_3x" localSheetId="39">'Div 2'!$J$66:$O$66</definedName>
    <definedName name="OSRRefE21_12_4x" localSheetId="73">'405'!$J$75:$O$75</definedName>
    <definedName name="OSRRefE21_12_5x" localSheetId="73">'405'!$J$76:$O$76</definedName>
    <definedName name="OSRRefE21_12_6x" localSheetId="73">'405'!$J$77:$O$77</definedName>
    <definedName name="OSRRefE21_12_7x" localSheetId="73">'405'!$J$78:$O$78</definedName>
    <definedName name="OSRRefE21_12x_0" localSheetId="41">'201'!$J$63:$J$64</definedName>
    <definedName name="OSRRefE21_12x_0" localSheetId="42">'202'!$J$62</definedName>
    <definedName name="OSRRefE21_12x_0" localSheetId="43">'203'!$J$67</definedName>
    <definedName name="OSRRefE21_12x_0" localSheetId="48">'300'!$J$98</definedName>
    <definedName name="OSRRefE21_12x_0" localSheetId="49">'300 &amp; 317'!$J$104</definedName>
    <definedName name="OSRRefE21_12x_0" localSheetId="50">'301'!$J$64</definedName>
    <definedName name="OSRRefE21_12x_0" localSheetId="52">'307'!$J$78</definedName>
    <definedName name="OSRRefE21_12x_0" localSheetId="53">'308'!$J$81</definedName>
    <definedName name="OSRRefE21_12x_0" localSheetId="63">'310'!$J$69</definedName>
    <definedName name="OSRRefE21_12x_0" localSheetId="71">'310 &amp; 491'!$J$71:$J$74</definedName>
    <definedName name="OSRRefE21_12x_0" localSheetId="54">'311'!$J$81</definedName>
    <definedName name="OSRRefE21_12x_0" localSheetId="57">'315'!$J$85:$J$86</definedName>
    <definedName name="OSRRefE21_12x_0" localSheetId="68">'325'!$J$67:$J$69</definedName>
    <definedName name="OSRRefE21_12x_0" localSheetId="58">'326'!$J$69:$J$70</definedName>
    <definedName name="OSRRefE21_12x_0" localSheetId="51">'330'!$J$78</definedName>
    <definedName name="OSRRefE21_12x_0" localSheetId="56">'331'!$J$85</definedName>
    <definedName name="OSRRefE21_12x_0" localSheetId="73">'405'!$J$71:$J$78</definedName>
    <definedName name="OSRRefE21_12x_0" localSheetId="75">'411'!$J$65</definedName>
    <definedName name="OSRRefE21_12x_0" localSheetId="79">'415'!$J$69:$J$72</definedName>
    <definedName name="OSRRefE21_12x_0" localSheetId="80">'418'!$J$75:$J$76</definedName>
    <definedName name="OSRRefE21_12x_0" localSheetId="87">'433'!$J$70:$J$73</definedName>
    <definedName name="OSRRefE21_12x_0" localSheetId="88">'444'!$J$69:$J$72</definedName>
    <definedName name="OSRRefE21_12x_0" localSheetId="89">'450'!$J$69:$J$72</definedName>
    <definedName name="OSRRefE21_12x_0" localSheetId="72">'491'!$J$70:$J$73</definedName>
    <definedName name="OSRRefE21_12x_0" localSheetId="85">'492'!$J$68:$J$70</definedName>
    <definedName name="OSRRefE21_12x_0" localSheetId="91">'501'!$J$66</definedName>
    <definedName name="OSRRefE21_12x_0" localSheetId="39">'Div 2'!$J$63:$J$66</definedName>
    <definedName name="OSRRefE21_12x_0" localSheetId="47">'Div 3'!$J$102</definedName>
    <definedName name="OSRRefE21_12x_0" localSheetId="70">'Div 4'!$J$72</definedName>
    <definedName name="OSRRefE21_12x_0" localSheetId="90">'Div 5'!$J$66</definedName>
    <definedName name="OSRRefE21_12x_0" localSheetId="2">Summary!$J$111</definedName>
    <definedName name="OSRRefE21_12x_1" localSheetId="41">'201'!$K$63:$K$64</definedName>
    <definedName name="OSRRefE21_12x_1" localSheetId="42">'202'!$K$62</definedName>
    <definedName name="OSRRefE21_12x_1" localSheetId="43">'203'!$K$67</definedName>
    <definedName name="OSRRefE21_12x_1" localSheetId="48">'300'!$K$98</definedName>
    <definedName name="OSRRefE21_12x_1" localSheetId="49">'300 &amp; 317'!$K$104</definedName>
    <definedName name="OSRRefE21_12x_1" localSheetId="50">'301'!$K$64</definedName>
    <definedName name="OSRRefE21_12x_1" localSheetId="52">'307'!$K$78</definedName>
    <definedName name="OSRRefE21_12x_1" localSheetId="53">'308'!$K$81</definedName>
    <definedName name="OSRRefE21_12x_1" localSheetId="63">'310'!$K$69</definedName>
    <definedName name="OSRRefE21_12x_1" localSheetId="71">'310 &amp; 491'!$K$71:$K$74</definedName>
    <definedName name="OSRRefE21_12x_1" localSheetId="54">'311'!$K$81</definedName>
    <definedName name="OSRRefE21_12x_1" localSheetId="57">'315'!$K$85:$K$86</definedName>
    <definedName name="OSRRefE21_12x_1" localSheetId="68">'325'!$K$67:$K$69</definedName>
    <definedName name="OSRRefE21_12x_1" localSheetId="58">'326'!$K$69:$K$70</definedName>
    <definedName name="OSRRefE21_12x_1" localSheetId="51">'330'!$K$78</definedName>
    <definedName name="OSRRefE21_12x_1" localSheetId="56">'331'!$K$85</definedName>
    <definedName name="OSRRefE21_12x_1" localSheetId="73">'405'!$K$71:$K$78</definedName>
    <definedName name="OSRRefE21_12x_1" localSheetId="75">'411'!$K$65</definedName>
    <definedName name="OSRRefE21_12x_1" localSheetId="79">'415'!$K$69:$K$72</definedName>
    <definedName name="OSRRefE21_12x_1" localSheetId="80">'418'!$K$75:$K$76</definedName>
    <definedName name="OSRRefE21_12x_1" localSheetId="87">'433'!$K$70:$K$73</definedName>
    <definedName name="OSRRefE21_12x_1" localSheetId="88">'444'!$K$69:$K$72</definedName>
    <definedName name="OSRRefE21_12x_1" localSheetId="89">'450'!$K$69:$K$72</definedName>
    <definedName name="OSRRefE21_12x_1" localSheetId="72">'491'!$K$70:$K$73</definedName>
    <definedName name="OSRRefE21_12x_1" localSheetId="85">'492'!$K$68:$K$70</definedName>
    <definedName name="OSRRefE21_12x_1" localSheetId="91">'501'!$K$66</definedName>
    <definedName name="OSRRefE21_12x_1" localSheetId="39">'Div 2'!$K$63:$K$66</definedName>
    <definedName name="OSRRefE21_12x_1" localSheetId="47">'Div 3'!$K$102</definedName>
    <definedName name="OSRRefE21_12x_1" localSheetId="70">'Div 4'!$K$72</definedName>
    <definedName name="OSRRefE21_12x_1" localSheetId="90">'Div 5'!$K$66</definedName>
    <definedName name="OSRRefE21_12x_1" localSheetId="2">Summary!$K$111</definedName>
    <definedName name="OSRRefE21_12x_2" localSheetId="41">'201'!$L$63:$L$64</definedName>
    <definedName name="OSRRefE21_12x_2" localSheetId="42">'202'!$L$62</definedName>
    <definedName name="OSRRefE21_12x_2" localSheetId="43">'203'!$L$67</definedName>
    <definedName name="OSRRefE21_12x_2" localSheetId="48">'300'!$L$98</definedName>
    <definedName name="OSRRefE21_12x_2" localSheetId="49">'300 &amp; 317'!$L$104</definedName>
    <definedName name="OSRRefE21_12x_2" localSheetId="50">'301'!$L$64</definedName>
    <definedName name="OSRRefE21_12x_2" localSheetId="52">'307'!$L$78</definedName>
    <definedName name="OSRRefE21_12x_2" localSheetId="53">'308'!$L$81</definedName>
    <definedName name="OSRRefE21_12x_2" localSheetId="63">'310'!$L$69</definedName>
    <definedName name="OSRRefE21_12x_2" localSheetId="71">'310 &amp; 491'!$L$71:$L$74</definedName>
    <definedName name="OSRRefE21_12x_2" localSheetId="54">'311'!$L$81</definedName>
    <definedName name="OSRRefE21_12x_2" localSheetId="57">'315'!$L$85:$L$86</definedName>
    <definedName name="OSRRefE21_12x_2" localSheetId="68">'325'!$L$67:$L$69</definedName>
    <definedName name="OSRRefE21_12x_2" localSheetId="58">'326'!$L$69:$L$70</definedName>
    <definedName name="OSRRefE21_12x_2" localSheetId="51">'330'!$L$78</definedName>
    <definedName name="OSRRefE21_12x_2" localSheetId="56">'331'!$L$85</definedName>
    <definedName name="OSRRefE21_12x_2" localSheetId="73">'405'!$L$71:$L$78</definedName>
    <definedName name="OSRRefE21_12x_2" localSheetId="75">'411'!$L$65</definedName>
    <definedName name="OSRRefE21_12x_2" localSheetId="79">'415'!$L$69:$L$72</definedName>
    <definedName name="OSRRefE21_12x_2" localSheetId="80">'418'!$L$75:$L$76</definedName>
    <definedName name="OSRRefE21_12x_2" localSheetId="87">'433'!$L$70:$L$73</definedName>
    <definedName name="OSRRefE21_12x_2" localSheetId="88">'444'!$L$69:$L$72</definedName>
    <definedName name="OSRRefE21_12x_2" localSheetId="89">'450'!$L$69:$L$72</definedName>
    <definedName name="OSRRefE21_12x_2" localSheetId="72">'491'!$L$70:$L$73</definedName>
    <definedName name="OSRRefE21_12x_2" localSheetId="85">'492'!$L$68:$L$70</definedName>
    <definedName name="OSRRefE21_12x_2" localSheetId="91">'501'!$L$66</definedName>
    <definedName name="OSRRefE21_12x_2" localSheetId="39">'Div 2'!$L$63:$L$66</definedName>
    <definedName name="OSRRefE21_12x_2" localSheetId="47">'Div 3'!$L$102</definedName>
    <definedName name="OSRRefE21_12x_2" localSheetId="70">'Div 4'!$L$72</definedName>
    <definedName name="OSRRefE21_12x_2" localSheetId="90">'Div 5'!$L$66</definedName>
    <definedName name="OSRRefE21_12x_2" localSheetId="2">Summary!$L$111</definedName>
    <definedName name="OSRRefE21_12x_3" localSheetId="41">'201'!$M$63:$M$64</definedName>
    <definedName name="OSRRefE21_12x_3" localSheetId="42">'202'!$M$62</definedName>
    <definedName name="OSRRefE21_12x_3" localSheetId="43">'203'!$M$67</definedName>
    <definedName name="OSRRefE21_12x_3" localSheetId="48">'300'!$M$98</definedName>
    <definedName name="OSRRefE21_12x_3" localSheetId="49">'300 &amp; 317'!$M$104</definedName>
    <definedName name="OSRRefE21_12x_3" localSheetId="50">'301'!$M$64</definedName>
    <definedName name="OSRRefE21_12x_3" localSheetId="52">'307'!$M$78</definedName>
    <definedName name="OSRRefE21_12x_3" localSheetId="53">'308'!$M$81</definedName>
    <definedName name="OSRRefE21_12x_3" localSheetId="63">'310'!$M$69</definedName>
    <definedName name="OSRRefE21_12x_3" localSheetId="71">'310 &amp; 491'!$M$71:$M$74</definedName>
    <definedName name="OSRRefE21_12x_3" localSheetId="54">'311'!$M$81</definedName>
    <definedName name="OSRRefE21_12x_3" localSheetId="57">'315'!$M$85:$M$86</definedName>
    <definedName name="OSRRefE21_12x_3" localSheetId="68">'325'!$M$67:$M$69</definedName>
    <definedName name="OSRRefE21_12x_3" localSheetId="58">'326'!$M$69:$M$70</definedName>
    <definedName name="OSRRefE21_12x_3" localSheetId="51">'330'!$M$78</definedName>
    <definedName name="OSRRefE21_12x_3" localSheetId="56">'331'!$M$85</definedName>
    <definedName name="OSRRefE21_12x_3" localSheetId="73">'405'!$M$71:$M$78</definedName>
    <definedName name="OSRRefE21_12x_3" localSheetId="75">'411'!$M$65</definedName>
    <definedName name="OSRRefE21_12x_3" localSheetId="79">'415'!$M$69:$M$72</definedName>
    <definedName name="OSRRefE21_12x_3" localSheetId="80">'418'!$M$75:$M$76</definedName>
    <definedName name="OSRRefE21_12x_3" localSheetId="87">'433'!$M$70:$M$73</definedName>
    <definedName name="OSRRefE21_12x_3" localSheetId="88">'444'!$M$69:$M$72</definedName>
    <definedName name="OSRRefE21_12x_3" localSheetId="89">'450'!$M$69:$M$72</definedName>
    <definedName name="OSRRefE21_12x_3" localSheetId="72">'491'!$M$70:$M$73</definedName>
    <definedName name="OSRRefE21_12x_3" localSheetId="85">'492'!$M$68:$M$70</definedName>
    <definedName name="OSRRefE21_12x_3" localSheetId="91">'501'!$M$66</definedName>
    <definedName name="OSRRefE21_12x_3" localSheetId="39">'Div 2'!$M$63:$M$66</definedName>
    <definedName name="OSRRefE21_12x_3" localSheetId="47">'Div 3'!$M$102</definedName>
    <definedName name="OSRRefE21_12x_3" localSheetId="70">'Div 4'!$M$72</definedName>
    <definedName name="OSRRefE21_12x_3" localSheetId="90">'Div 5'!$M$66</definedName>
    <definedName name="OSRRefE21_12x_3" localSheetId="2">Summary!$M$111</definedName>
    <definedName name="OSRRefE21_12x_4" localSheetId="41">'201'!$N$63:$N$64</definedName>
    <definedName name="OSRRefE21_12x_4" localSheetId="42">'202'!$N$62</definedName>
    <definedName name="OSRRefE21_12x_4" localSheetId="43">'203'!$N$67</definedName>
    <definedName name="OSRRefE21_12x_4" localSheetId="48">'300'!$N$98</definedName>
    <definedName name="OSRRefE21_12x_4" localSheetId="49">'300 &amp; 317'!$N$104</definedName>
    <definedName name="OSRRefE21_12x_4" localSheetId="50">'301'!$N$64</definedName>
    <definedName name="OSRRefE21_12x_4" localSheetId="52">'307'!$N$78</definedName>
    <definedName name="OSRRefE21_12x_4" localSheetId="53">'308'!$N$81</definedName>
    <definedName name="OSRRefE21_12x_4" localSheetId="63">'310'!$N$69</definedName>
    <definedName name="OSRRefE21_12x_4" localSheetId="71">'310 &amp; 491'!$N$71:$N$74</definedName>
    <definedName name="OSRRefE21_12x_4" localSheetId="54">'311'!$N$81</definedName>
    <definedName name="OSRRefE21_12x_4" localSheetId="57">'315'!$N$85:$N$86</definedName>
    <definedName name="OSRRefE21_12x_4" localSheetId="68">'325'!$N$67:$N$69</definedName>
    <definedName name="OSRRefE21_12x_4" localSheetId="58">'326'!$N$69:$N$70</definedName>
    <definedName name="OSRRefE21_12x_4" localSheetId="51">'330'!$N$78</definedName>
    <definedName name="OSRRefE21_12x_4" localSheetId="56">'331'!$N$85</definedName>
    <definedName name="OSRRefE21_12x_4" localSheetId="73">'405'!$N$71:$N$78</definedName>
    <definedName name="OSRRefE21_12x_4" localSheetId="75">'411'!$N$65</definedName>
    <definedName name="OSRRefE21_12x_4" localSheetId="79">'415'!$N$69:$N$72</definedName>
    <definedName name="OSRRefE21_12x_4" localSheetId="80">'418'!$N$75:$N$76</definedName>
    <definedName name="OSRRefE21_12x_4" localSheetId="87">'433'!$N$70:$N$73</definedName>
    <definedName name="OSRRefE21_12x_4" localSheetId="88">'444'!$N$69:$N$72</definedName>
    <definedName name="OSRRefE21_12x_4" localSheetId="89">'450'!$N$69:$N$72</definedName>
    <definedName name="OSRRefE21_12x_4" localSheetId="72">'491'!$N$70:$N$73</definedName>
    <definedName name="OSRRefE21_12x_4" localSheetId="85">'492'!$N$68:$N$70</definedName>
    <definedName name="OSRRefE21_12x_4" localSheetId="91">'501'!$N$66</definedName>
    <definedName name="OSRRefE21_12x_4" localSheetId="39">'Div 2'!$N$63:$N$66</definedName>
    <definedName name="OSRRefE21_12x_4" localSheetId="47">'Div 3'!$N$102</definedName>
    <definedName name="OSRRefE21_12x_4" localSheetId="70">'Div 4'!$N$72</definedName>
    <definedName name="OSRRefE21_12x_4" localSheetId="90">'Div 5'!$N$66</definedName>
    <definedName name="OSRRefE21_12x_4" localSheetId="2">Summary!$N$111</definedName>
    <definedName name="OSRRefE21_12x_5" localSheetId="41">'201'!$O$63:$O$64</definedName>
    <definedName name="OSRRefE21_12x_5" localSheetId="42">'202'!$O$62</definedName>
    <definedName name="OSRRefE21_12x_5" localSheetId="43">'203'!$O$67</definedName>
    <definedName name="OSRRefE21_12x_5" localSheetId="48">'300'!$O$98</definedName>
    <definedName name="OSRRefE21_12x_5" localSheetId="49">'300 &amp; 317'!$O$104</definedName>
    <definedName name="OSRRefE21_12x_5" localSheetId="50">'301'!$O$64</definedName>
    <definedName name="OSRRefE21_12x_5" localSheetId="52">'307'!$O$78</definedName>
    <definedName name="OSRRefE21_12x_5" localSheetId="53">'308'!$O$81</definedName>
    <definedName name="OSRRefE21_12x_5" localSheetId="63">'310'!$O$69</definedName>
    <definedName name="OSRRefE21_12x_5" localSheetId="71">'310 &amp; 491'!$O$71:$O$74</definedName>
    <definedName name="OSRRefE21_12x_5" localSheetId="54">'311'!$O$81</definedName>
    <definedName name="OSRRefE21_12x_5" localSheetId="57">'315'!$O$85:$O$86</definedName>
    <definedName name="OSRRefE21_12x_5" localSheetId="68">'325'!$O$67:$O$69</definedName>
    <definedName name="OSRRefE21_12x_5" localSheetId="58">'326'!$O$69:$O$70</definedName>
    <definedName name="OSRRefE21_12x_5" localSheetId="51">'330'!$O$78</definedName>
    <definedName name="OSRRefE21_12x_5" localSheetId="56">'331'!$O$85</definedName>
    <definedName name="OSRRefE21_12x_5" localSheetId="73">'405'!$O$71:$O$78</definedName>
    <definedName name="OSRRefE21_12x_5" localSheetId="75">'411'!$O$65</definedName>
    <definedName name="OSRRefE21_12x_5" localSheetId="79">'415'!$O$69:$O$72</definedName>
    <definedName name="OSRRefE21_12x_5" localSheetId="80">'418'!$O$75:$O$76</definedName>
    <definedName name="OSRRefE21_12x_5" localSheetId="87">'433'!$O$70:$O$73</definedName>
    <definedName name="OSRRefE21_12x_5" localSheetId="88">'444'!$O$69:$O$72</definedName>
    <definedName name="OSRRefE21_12x_5" localSheetId="89">'450'!$O$69:$O$72</definedName>
    <definedName name="OSRRefE21_12x_5" localSheetId="72">'491'!$O$70:$O$73</definedName>
    <definedName name="OSRRefE21_12x_5" localSheetId="85">'492'!$O$68:$O$70</definedName>
    <definedName name="OSRRefE21_12x_5" localSheetId="91">'501'!$O$66</definedName>
    <definedName name="OSRRefE21_12x_5" localSheetId="39">'Div 2'!$O$63:$O$66</definedName>
    <definedName name="OSRRefE21_12x_5" localSheetId="47">'Div 3'!$O$102</definedName>
    <definedName name="OSRRefE21_12x_5" localSheetId="70">'Div 4'!$O$72</definedName>
    <definedName name="OSRRefE21_12x_5" localSheetId="90">'Div 5'!$O$66</definedName>
    <definedName name="OSRRefE21_12x_5" localSheetId="2">Summary!$O$111</definedName>
    <definedName name="OSRRefE21_13_0x" localSheetId="41">'201'!$J$66:$O$66</definedName>
    <definedName name="OSRRefE21_13_0x" localSheetId="43">'203'!$J$69:$O$69</definedName>
    <definedName name="OSRRefE21_13_0x" localSheetId="48">'300'!$J$100:$O$100</definedName>
    <definedName name="OSRRefE21_13_0x" localSheetId="49">'300 &amp; 317'!$J$106:$O$106</definedName>
    <definedName name="OSRRefE21_13_0x" localSheetId="50">'301'!$J$66:$O$66</definedName>
    <definedName name="OSRRefE21_13_0x" localSheetId="63">'310'!$J$71:$O$71</definedName>
    <definedName name="OSRRefE21_13_0x" localSheetId="71">'310 &amp; 491'!$J$76:$O$76</definedName>
    <definedName name="OSRRefE21_13_0x" localSheetId="57">'315'!$J$88:$O$88</definedName>
    <definedName name="OSRRefE21_13_0x" localSheetId="68">'325'!$J$71:$O$71</definedName>
    <definedName name="OSRRefE21_13_0x" localSheetId="58">'326'!$J$72:$O$72</definedName>
    <definedName name="OSRRefE21_13_0x" localSheetId="56">'331'!$J$87:$O$87</definedName>
    <definedName name="OSRRefE21_13_0x" localSheetId="73">'405'!$J$80:$O$80</definedName>
    <definedName name="OSRRefE21_13_0x" localSheetId="75">'411'!$J$67:$O$67</definedName>
    <definedName name="OSRRefE21_13_0x" localSheetId="79">'415'!$J$74:$O$74</definedName>
    <definedName name="OSRRefE21_13_0x" localSheetId="80">'418'!$J$78:$O$78</definedName>
    <definedName name="OSRRefE21_13_0x" localSheetId="87">'433'!$J$75:$O$75</definedName>
    <definedName name="OSRRefE21_13_0x" localSheetId="88">'444'!$J$74:$O$74</definedName>
    <definedName name="OSRRefE21_13_0x" localSheetId="89">'450'!$J$74:$O$74</definedName>
    <definedName name="OSRRefE21_13_0x" localSheetId="72">'491'!$J$75:$O$75</definedName>
    <definedName name="OSRRefE21_13_0x" localSheetId="85">'492'!$J$72:$O$72</definedName>
    <definedName name="OSRRefE21_13_0x" localSheetId="91">'501'!$J$68:$O$68</definedName>
    <definedName name="OSRRefE21_13_0x" localSheetId="39">'Div 2'!$J$68:$O$68</definedName>
    <definedName name="OSRRefE21_13_0x" localSheetId="47">'Div 3'!$J$104:$O$104</definedName>
    <definedName name="OSRRefE21_13_0x" localSheetId="70">'Div 4'!$J$74:$O$74</definedName>
    <definedName name="OSRRefE21_13_0x" localSheetId="90">'Div 5'!$J$68:$O$68</definedName>
    <definedName name="OSRRefE21_13_0x" localSheetId="2">Summary!$J$113:$O$113</definedName>
    <definedName name="OSRRefE21_13_1x" localSheetId="63">'310'!$J$72:$O$72</definedName>
    <definedName name="OSRRefE21_13_1x" localSheetId="71">'310 &amp; 491'!$J$77:$O$77</definedName>
    <definedName name="OSRRefE21_13_1x" localSheetId="57">'315'!$J$89:$O$89</definedName>
    <definedName name="OSRRefE21_13_1x" localSheetId="68">'325'!$J$72:$O$72</definedName>
    <definedName name="OSRRefE21_13_1x" localSheetId="58">'326'!$J$73:$O$73</definedName>
    <definedName name="OSRRefE21_13_1x" localSheetId="87">'433'!$J$76:$O$76</definedName>
    <definedName name="OSRRefE21_13_1x" localSheetId="88">'444'!$J$75:$O$75</definedName>
    <definedName name="OSRRefE21_13_1x" localSheetId="89">'450'!$J$75:$O$75</definedName>
    <definedName name="OSRRefE21_13_1x" localSheetId="85">'492'!$J$73:$O$73</definedName>
    <definedName name="OSRRefE21_13_1x" localSheetId="39">'Div 2'!$J$69:$O$69</definedName>
    <definedName name="OSRRefE21_13_2x" localSheetId="63">'310'!$J$73:$O$73</definedName>
    <definedName name="OSRRefE21_13_2x" localSheetId="57">'315'!$J$90:$O$90</definedName>
    <definedName name="OSRRefE21_13_2x" localSheetId="68">'325'!$J$73:$O$73</definedName>
    <definedName name="OSRRefE21_13_2x" localSheetId="87">'433'!$J$77:$O$77</definedName>
    <definedName name="OSRRefE21_13_2x" localSheetId="88">'444'!$J$76:$O$76</definedName>
    <definedName name="OSRRefE21_13_2x" localSheetId="89">'450'!$J$76:$O$76</definedName>
    <definedName name="OSRRefE21_13_2x" localSheetId="85">'492'!$J$74:$O$74</definedName>
    <definedName name="OSRRefE21_13_2x" localSheetId="39">'Div 2'!$J$70:$O$70</definedName>
    <definedName name="OSRRefE21_13_3x" localSheetId="68">'325'!$J$74:$O$74</definedName>
    <definedName name="OSRRefE21_13_3x" localSheetId="87">'433'!$J$78:$O$78</definedName>
    <definedName name="OSRRefE21_13_3x" localSheetId="88">'444'!$J$77:$O$77</definedName>
    <definedName name="OSRRefE21_13_3x" localSheetId="89">'450'!$J$77:$O$77</definedName>
    <definedName name="OSRRefE21_13_3x" localSheetId="85">'492'!$J$75:$O$75</definedName>
    <definedName name="OSRRefE21_13_3x" localSheetId="39">'Div 2'!$J$71:$O$71</definedName>
    <definedName name="OSRRefE21_13_4x" localSheetId="68">'325'!$J$75:$O$75</definedName>
    <definedName name="OSRRefE21_13_4x" localSheetId="87">'433'!$J$79:$O$79</definedName>
    <definedName name="OSRRefE21_13_4x" localSheetId="88">'444'!$J$78:$O$78</definedName>
    <definedName name="OSRRefE21_13_4x" localSheetId="89">'450'!$J$78:$O$78</definedName>
    <definedName name="OSRRefE21_13_5x" localSheetId="87">'433'!$J$80:$O$80</definedName>
    <definedName name="OSRRefE21_13_5x" localSheetId="88">'444'!$J$79:$O$79</definedName>
    <definedName name="OSRRefE21_13_5x" localSheetId="89">'450'!$J$79:$O$79</definedName>
    <definedName name="OSRRefE21_13_6x" localSheetId="87">'433'!$J$81:$O$81</definedName>
    <definedName name="OSRRefE21_13_6x" localSheetId="88">'444'!$J$80:$O$80</definedName>
    <definedName name="OSRRefE21_13_6x" localSheetId="89">'450'!$J$80:$O$80</definedName>
    <definedName name="OSRRefE21_13_7x" localSheetId="87">'433'!$J$82:$O$82</definedName>
    <definedName name="OSRRefE21_13_7x" localSheetId="88">'444'!$J$81:$O$81</definedName>
    <definedName name="OSRRefE21_13x_0" localSheetId="41">'201'!$J$66</definedName>
    <definedName name="OSRRefE21_13x_0" localSheetId="43">'203'!$J$69</definedName>
    <definedName name="OSRRefE21_13x_0" localSheetId="48">'300'!$J$100</definedName>
    <definedName name="OSRRefE21_13x_0" localSheetId="49">'300 &amp; 317'!$J$106</definedName>
    <definedName name="OSRRefE21_13x_0" localSheetId="50">'301'!$J$66</definedName>
    <definedName name="OSRRefE21_13x_0" localSheetId="63">'310'!$J$71:$J$73</definedName>
    <definedName name="OSRRefE21_13x_0" localSheetId="71">'310 &amp; 491'!$J$76:$J$77</definedName>
    <definedName name="OSRRefE21_13x_0" localSheetId="57">'315'!$J$88:$J$90</definedName>
    <definedName name="OSRRefE21_13x_0" localSheetId="68">'325'!$J$71:$J$75</definedName>
    <definedName name="OSRRefE21_13x_0" localSheetId="58">'326'!$J$72:$J$73</definedName>
    <definedName name="OSRRefE21_13x_0" localSheetId="56">'331'!$J$87</definedName>
    <definedName name="OSRRefE21_13x_0" localSheetId="73">'405'!$J$80</definedName>
    <definedName name="OSRRefE21_13x_0" localSheetId="75">'411'!$J$67</definedName>
    <definedName name="OSRRefE21_13x_0" localSheetId="79">'415'!$J$74</definedName>
    <definedName name="OSRRefE21_13x_0" localSheetId="80">'418'!$J$78</definedName>
    <definedName name="OSRRefE21_13x_0" localSheetId="87">'433'!$J$75:$J$82</definedName>
    <definedName name="OSRRefE21_13x_0" localSheetId="88">'444'!$J$74:$J$81</definedName>
    <definedName name="OSRRefE21_13x_0" localSheetId="89">'450'!$J$74:$J$80</definedName>
    <definedName name="OSRRefE21_13x_0" localSheetId="72">'491'!$J$75</definedName>
    <definedName name="OSRRefE21_13x_0" localSheetId="85">'492'!$J$72:$J$75</definedName>
    <definedName name="OSRRefE21_13x_0" localSheetId="91">'501'!$J$68</definedName>
    <definedName name="OSRRefE21_13x_0" localSheetId="39">'Div 2'!$J$68:$J$71</definedName>
    <definedName name="OSRRefE21_13x_0" localSheetId="47">'Div 3'!$J$104</definedName>
    <definedName name="OSRRefE21_13x_0" localSheetId="70">'Div 4'!$J$74</definedName>
    <definedName name="OSRRefE21_13x_0" localSheetId="90">'Div 5'!$J$68</definedName>
    <definedName name="OSRRefE21_13x_0" localSheetId="2">Summary!$J$113</definedName>
    <definedName name="OSRRefE21_13x_1" localSheetId="41">'201'!$K$66</definedName>
    <definedName name="OSRRefE21_13x_1" localSheetId="43">'203'!$K$69</definedName>
    <definedName name="OSRRefE21_13x_1" localSheetId="48">'300'!$K$100</definedName>
    <definedName name="OSRRefE21_13x_1" localSheetId="49">'300 &amp; 317'!$K$106</definedName>
    <definedName name="OSRRefE21_13x_1" localSheetId="50">'301'!$K$66</definedName>
    <definedName name="OSRRefE21_13x_1" localSheetId="63">'310'!$K$71:$K$73</definedName>
    <definedName name="OSRRefE21_13x_1" localSheetId="71">'310 &amp; 491'!$K$76:$K$77</definedName>
    <definedName name="OSRRefE21_13x_1" localSheetId="57">'315'!$K$88:$K$90</definedName>
    <definedName name="OSRRefE21_13x_1" localSheetId="68">'325'!$K$71:$K$75</definedName>
    <definedName name="OSRRefE21_13x_1" localSheetId="58">'326'!$K$72:$K$73</definedName>
    <definedName name="OSRRefE21_13x_1" localSheetId="56">'331'!$K$87</definedName>
    <definedName name="OSRRefE21_13x_1" localSheetId="73">'405'!$K$80</definedName>
    <definedName name="OSRRefE21_13x_1" localSheetId="75">'411'!$K$67</definedName>
    <definedName name="OSRRefE21_13x_1" localSheetId="79">'415'!$K$74</definedName>
    <definedName name="OSRRefE21_13x_1" localSheetId="80">'418'!$K$78</definedName>
    <definedName name="OSRRefE21_13x_1" localSheetId="87">'433'!$K$75:$K$82</definedName>
    <definedName name="OSRRefE21_13x_1" localSheetId="88">'444'!$K$74:$K$81</definedName>
    <definedName name="OSRRefE21_13x_1" localSheetId="89">'450'!$K$74:$K$80</definedName>
    <definedName name="OSRRefE21_13x_1" localSheetId="72">'491'!$K$75</definedName>
    <definedName name="OSRRefE21_13x_1" localSheetId="85">'492'!$K$72:$K$75</definedName>
    <definedName name="OSRRefE21_13x_1" localSheetId="91">'501'!$K$68</definedName>
    <definedName name="OSRRefE21_13x_1" localSheetId="39">'Div 2'!$K$68:$K$71</definedName>
    <definedName name="OSRRefE21_13x_1" localSheetId="47">'Div 3'!$K$104</definedName>
    <definedName name="OSRRefE21_13x_1" localSheetId="70">'Div 4'!$K$74</definedName>
    <definedName name="OSRRefE21_13x_1" localSheetId="90">'Div 5'!$K$68</definedName>
    <definedName name="OSRRefE21_13x_1" localSheetId="2">Summary!$K$113</definedName>
    <definedName name="OSRRefE21_13x_2" localSheetId="41">'201'!$L$66</definedName>
    <definedName name="OSRRefE21_13x_2" localSheetId="43">'203'!$L$69</definedName>
    <definedName name="OSRRefE21_13x_2" localSheetId="48">'300'!$L$100</definedName>
    <definedName name="OSRRefE21_13x_2" localSheetId="49">'300 &amp; 317'!$L$106</definedName>
    <definedName name="OSRRefE21_13x_2" localSheetId="50">'301'!$L$66</definedName>
    <definedName name="OSRRefE21_13x_2" localSheetId="63">'310'!$L$71:$L$73</definedName>
    <definedName name="OSRRefE21_13x_2" localSheetId="71">'310 &amp; 491'!$L$76:$L$77</definedName>
    <definedName name="OSRRefE21_13x_2" localSheetId="57">'315'!$L$88:$L$90</definedName>
    <definedName name="OSRRefE21_13x_2" localSheetId="68">'325'!$L$71:$L$75</definedName>
    <definedName name="OSRRefE21_13x_2" localSheetId="58">'326'!$L$72:$L$73</definedName>
    <definedName name="OSRRefE21_13x_2" localSheetId="56">'331'!$L$87</definedName>
    <definedName name="OSRRefE21_13x_2" localSheetId="73">'405'!$L$80</definedName>
    <definedName name="OSRRefE21_13x_2" localSheetId="75">'411'!$L$67</definedName>
    <definedName name="OSRRefE21_13x_2" localSheetId="79">'415'!$L$74</definedName>
    <definedName name="OSRRefE21_13x_2" localSheetId="80">'418'!$L$78</definedName>
    <definedName name="OSRRefE21_13x_2" localSheetId="87">'433'!$L$75:$L$82</definedName>
    <definedName name="OSRRefE21_13x_2" localSheetId="88">'444'!$L$74:$L$81</definedName>
    <definedName name="OSRRefE21_13x_2" localSheetId="89">'450'!$L$74:$L$80</definedName>
    <definedName name="OSRRefE21_13x_2" localSheetId="72">'491'!$L$75</definedName>
    <definedName name="OSRRefE21_13x_2" localSheetId="85">'492'!$L$72:$L$75</definedName>
    <definedName name="OSRRefE21_13x_2" localSheetId="91">'501'!$L$68</definedName>
    <definedName name="OSRRefE21_13x_2" localSheetId="39">'Div 2'!$L$68:$L$71</definedName>
    <definedName name="OSRRefE21_13x_2" localSheetId="47">'Div 3'!$L$104</definedName>
    <definedName name="OSRRefE21_13x_2" localSheetId="70">'Div 4'!$L$74</definedName>
    <definedName name="OSRRefE21_13x_2" localSheetId="90">'Div 5'!$L$68</definedName>
    <definedName name="OSRRefE21_13x_2" localSheetId="2">Summary!$L$113</definedName>
    <definedName name="OSRRefE21_13x_3" localSheetId="41">'201'!$M$66</definedName>
    <definedName name="OSRRefE21_13x_3" localSheetId="43">'203'!$M$69</definedName>
    <definedName name="OSRRefE21_13x_3" localSheetId="48">'300'!$M$100</definedName>
    <definedName name="OSRRefE21_13x_3" localSheetId="49">'300 &amp; 317'!$M$106</definedName>
    <definedName name="OSRRefE21_13x_3" localSheetId="50">'301'!$M$66</definedName>
    <definedName name="OSRRefE21_13x_3" localSheetId="63">'310'!$M$71:$M$73</definedName>
    <definedName name="OSRRefE21_13x_3" localSheetId="71">'310 &amp; 491'!$M$76:$M$77</definedName>
    <definedName name="OSRRefE21_13x_3" localSheetId="57">'315'!$M$88:$M$90</definedName>
    <definedName name="OSRRefE21_13x_3" localSheetId="68">'325'!$M$71:$M$75</definedName>
    <definedName name="OSRRefE21_13x_3" localSheetId="58">'326'!$M$72:$M$73</definedName>
    <definedName name="OSRRefE21_13x_3" localSheetId="56">'331'!$M$87</definedName>
    <definedName name="OSRRefE21_13x_3" localSheetId="73">'405'!$M$80</definedName>
    <definedName name="OSRRefE21_13x_3" localSheetId="75">'411'!$M$67</definedName>
    <definedName name="OSRRefE21_13x_3" localSheetId="79">'415'!$M$74</definedName>
    <definedName name="OSRRefE21_13x_3" localSheetId="80">'418'!$M$78</definedName>
    <definedName name="OSRRefE21_13x_3" localSheetId="87">'433'!$M$75:$M$82</definedName>
    <definedName name="OSRRefE21_13x_3" localSheetId="88">'444'!$M$74:$M$81</definedName>
    <definedName name="OSRRefE21_13x_3" localSheetId="89">'450'!$M$74:$M$80</definedName>
    <definedName name="OSRRefE21_13x_3" localSheetId="72">'491'!$M$75</definedName>
    <definedName name="OSRRefE21_13x_3" localSheetId="85">'492'!$M$72:$M$75</definedName>
    <definedName name="OSRRefE21_13x_3" localSheetId="91">'501'!$M$68</definedName>
    <definedName name="OSRRefE21_13x_3" localSheetId="39">'Div 2'!$M$68:$M$71</definedName>
    <definedName name="OSRRefE21_13x_3" localSheetId="47">'Div 3'!$M$104</definedName>
    <definedName name="OSRRefE21_13x_3" localSheetId="70">'Div 4'!$M$74</definedName>
    <definedName name="OSRRefE21_13x_3" localSheetId="90">'Div 5'!$M$68</definedName>
    <definedName name="OSRRefE21_13x_3" localSheetId="2">Summary!$M$113</definedName>
    <definedName name="OSRRefE21_13x_4" localSheetId="41">'201'!$N$66</definedName>
    <definedName name="OSRRefE21_13x_4" localSheetId="43">'203'!$N$69</definedName>
    <definedName name="OSRRefE21_13x_4" localSheetId="48">'300'!$N$100</definedName>
    <definedName name="OSRRefE21_13x_4" localSheetId="49">'300 &amp; 317'!$N$106</definedName>
    <definedName name="OSRRefE21_13x_4" localSheetId="50">'301'!$N$66</definedName>
    <definedName name="OSRRefE21_13x_4" localSheetId="63">'310'!$N$71:$N$73</definedName>
    <definedName name="OSRRefE21_13x_4" localSheetId="71">'310 &amp; 491'!$N$76:$N$77</definedName>
    <definedName name="OSRRefE21_13x_4" localSheetId="57">'315'!$N$88:$N$90</definedName>
    <definedName name="OSRRefE21_13x_4" localSheetId="68">'325'!$N$71:$N$75</definedName>
    <definedName name="OSRRefE21_13x_4" localSheetId="58">'326'!$N$72:$N$73</definedName>
    <definedName name="OSRRefE21_13x_4" localSheetId="56">'331'!$N$87</definedName>
    <definedName name="OSRRefE21_13x_4" localSheetId="73">'405'!$N$80</definedName>
    <definedName name="OSRRefE21_13x_4" localSheetId="75">'411'!$N$67</definedName>
    <definedName name="OSRRefE21_13x_4" localSheetId="79">'415'!$N$74</definedName>
    <definedName name="OSRRefE21_13x_4" localSheetId="80">'418'!$N$78</definedName>
    <definedName name="OSRRefE21_13x_4" localSheetId="87">'433'!$N$75:$N$82</definedName>
    <definedName name="OSRRefE21_13x_4" localSheetId="88">'444'!$N$74:$N$81</definedName>
    <definedName name="OSRRefE21_13x_4" localSheetId="89">'450'!$N$74:$N$80</definedName>
    <definedName name="OSRRefE21_13x_4" localSheetId="72">'491'!$N$75</definedName>
    <definedName name="OSRRefE21_13x_4" localSheetId="85">'492'!$N$72:$N$75</definedName>
    <definedName name="OSRRefE21_13x_4" localSheetId="91">'501'!$N$68</definedName>
    <definedName name="OSRRefE21_13x_4" localSheetId="39">'Div 2'!$N$68:$N$71</definedName>
    <definedName name="OSRRefE21_13x_4" localSheetId="47">'Div 3'!$N$104</definedName>
    <definedName name="OSRRefE21_13x_4" localSheetId="70">'Div 4'!$N$74</definedName>
    <definedName name="OSRRefE21_13x_4" localSheetId="90">'Div 5'!$N$68</definedName>
    <definedName name="OSRRefE21_13x_4" localSheetId="2">Summary!$N$113</definedName>
    <definedName name="OSRRefE21_13x_5" localSheetId="41">'201'!$O$66</definedName>
    <definedName name="OSRRefE21_13x_5" localSheetId="43">'203'!$O$69</definedName>
    <definedName name="OSRRefE21_13x_5" localSheetId="48">'300'!$O$100</definedName>
    <definedName name="OSRRefE21_13x_5" localSheetId="49">'300 &amp; 317'!$O$106</definedName>
    <definedName name="OSRRefE21_13x_5" localSheetId="50">'301'!$O$66</definedName>
    <definedName name="OSRRefE21_13x_5" localSheetId="63">'310'!$O$71:$O$73</definedName>
    <definedName name="OSRRefE21_13x_5" localSheetId="71">'310 &amp; 491'!$O$76:$O$77</definedName>
    <definedName name="OSRRefE21_13x_5" localSheetId="57">'315'!$O$88:$O$90</definedName>
    <definedName name="OSRRefE21_13x_5" localSheetId="68">'325'!$O$71:$O$75</definedName>
    <definedName name="OSRRefE21_13x_5" localSheetId="58">'326'!$O$72:$O$73</definedName>
    <definedName name="OSRRefE21_13x_5" localSheetId="56">'331'!$O$87</definedName>
    <definedName name="OSRRefE21_13x_5" localSheetId="73">'405'!$O$80</definedName>
    <definedName name="OSRRefE21_13x_5" localSheetId="75">'411'!$O$67</definedName>
    <definedName name="OSRRefE21_13x_5" localSheetId="79">'415'!$O$74</definedName>
    <definedName name="OSRRefE21_13x_5" localSheetId="80">'418'!$O$78</definedName>
    <definedName name="OSRRefE21_13x_5" localSheetId="87">'433'!$O$75:$O$82</definedName>
    <definedName name="OSRRefE21_13x_5" localSheetId="88">'444'!$O$74:$O$81</definedName>
    <definedName name="OSRRefE21_13x_5" localSheetId="89">'450'!$O$74:$O$80</definedName>
    <definedName name="OSRRefE21_13x_5" localSheetId="72">'491'!$O$75</definedName>
    <definedName name="OSRRefE21_13x_5" localSheetId="85">'492'!$O$72:$O$75</definedName>
    <definedName name="OSRRefE21_13x_5" localSheetId="91">'501'!$O$68</definedName>
    <definedName name="OSRRefE21_13x_5" localSheetId="39">'Div 2'!$O$68:$O$71</definedName>
    <definedName name="OSRRefE21_13x_5" localSheetId="47">'Div 3'!$O$104</definedName>
    <definedName name="OSRRefE21_13x_5" localSheetId="70">'Div 4'!$O$74</definedName>
    <definedName name="OSRRefE21_13x_5" localSheetId="90">'Div 5'!$O$68</definedName>
    <definedName name="OSRRefE21_13x_5" localSheetId="2">Summary!$O$113</definedName>
    <definedName name="OSRRefE21_14_0x" localSheetId="41">'201'!$J$68:$O$68</definedName>
    <definedName name="OSRRefE21_14_0x" localSheetId="48">'300'!$J$102:$O$102</definedName>
    <definedName name="OSRRefE21_14_0x" localSheetId="49">'300 &amp; 317'!$J$108:$O$108</definedName>
    <definedName name="OSRRefE21_14_0x" localSheetId="50">'301'!$J$68:$O$68</definedName>
    <definedName name="OSRRefE21_14_0x" localSheetId="63">'310'!$J$75:$O$75</definedName>
    <definedName name="OSRRefE21_14_0x" localSheetId="71">'310 &amp; 491'!$J$79:$O$79</definedName>
    <definedName name="OSRRefE21_14_0x" localSheetId="57">'315'!$J$92:$O$92</definedName>
    <definedName name="OSRRefE21_14_0x" localSheetId="68">'325'!$J$77:$O$77</definedName>
    <definedName name="OSRRefE21_14_0x" localSheetId="58">'326'!$J$75:$O$75</definedName>
    <definedName name="OSRRefE21_14_0x" localSheetId="56">'331'!$J$89:$O$89</definedName>
    <definedName name="OSRRefE21_14_0x" localSheetId="73">'405'!$J$82:$O$82</definedName>
    <definedName name="OSRRefE21_14_0x" localSheetId="75">'411'!$J$69:$O$69</definedName>
    <definedName name="OSRRefE21_14_0x" localSheetId="79">'415'!$J$76:$O$76</definedName>
    <definedName name="OSRRefE21_14_0x" localSheetId="80">'418'!$J$80:$O$80</definedName>
    <definedName name="OSRRefE21_14_0x" localSheetId="87">'433'!$J$84:$O$84</definedName>
    <definedName name="OSRRefE21_14_0x" localSheetId="88">'444'!$J$83:$O$83</definedName>
    <definedName name="OSRRefE21_14_0x" localSheetId="89">'450'!$J$82:$O$82</definedName>
    <definedName name="OSRRefE21_14_0x" localSheetId="72">'491'!$J$77:$O$77</definedName>
    <definedName name="OSRRefE21_14_0x" localSheetId="85">'492'!$J$77:$O$77</definedName>
    <definedName name="OSRRefE21_14_0x" localSheetId="39">'Div 2'!$J$73:$O$73</definedName>
    <definedName name="OSRRefE21_14_0x" localSheetId="47">'Div 3'!$J$106:$O$106</definedName>
    <definedName name="OSRRefE21_14_0x" localSheetId="70">'Div 4'!$J$76:$O$76</definedName>
    <definedName name="OSRRefE21_14_0x" localSheetId="2">Summary!$J$115:$O$115</definedName>
    <definedName name="OSRRefE21_14_1x" localSheetId="63">'310'!$J$76:$O$76</definedName>
    <definedName name="OSRRefE21_14_1x" localSheetId="71">'310 &amp; 491'!$J$80:$O$80</definedName>
    <definedName name="OSRRefE21_14_1x" localSheetId="57">'315'!$J$93:$O$93</definedName>
    <definedName name="OSRRefE21_14_1x" localSheetId="68">'325'!$J$78:$O$78</definedName>
    <definedName name="OSRRefE21_14_1x" localSheetId="58">'326'!$J$76:$O$76</definedName>
    <definedName name="OSRRefE21_14_1x" localSheetId="56">'331'!$J$90:$O$90</definedName>
    <definedName name="OSRRefE21_14_1x" localSheetId="79">'415'!$J$77:$O$77</definedName>
    <definedName name="OSRRefE21_14_1x" localSheetId="72">'491'!$J$78:$O$78</definedName>
    <definedName name="OSRRefE21_14_1x" localSheetId="85">'492'!$J$78:$O$78</definedName>
    <definedName name="OSRRefE21_14_1x" localSheetId="39">'Div 2'!$J$74:$O$74</definedName>
    <definedName name="OSRRefE21_14_1x" localSheetId="70">'Div 4'!$J$77:$O$77</definedName>
    <definedName name="OSRRefE21_14_2x" localSheetId="63">'310'!$J$77:$O$77</definedName>
    <definedName name="OSRRefE21_14_2x" localSheetId="71">'310 &amp; 491'!$J$81:$O$81</definedName>
    <definedName name="OSRRefE21_14_2x" localSheetId="58">'326'!$J$77:$O$77</definedName>
    <definedName name="OSRRefE21_14_2x" localSheetId="79">'415'!$J$78:$O$78</definedName>
    <definedName name="OSRRefE21_14_2x" localSheetId="72">'491'!$J$79:$O$79</definedName>
    <definedName name="OSRRefE21_14_2x" localSheetId="85">'492'!$J$79:$O$79</definedName>
    <definedName name="OSRRefE21_14_2x" localSheetId="70">'Div 4'!$J$78:$O$78</definedName>
    <definedName name="OSRRefE21_14_3x" localSheetId="63">'310'!$J$78:$O$78</definedName>
    <definedName name="OSRRefE21_14_3x" localSheetId="71">'310 &amp; 491'!$J$82:$O$82</definedName>
    <definedName name="OSRRefE21_14_3x" localSheetId="79">'415'!$J$79:$O$79</definedName>
    <definedName name="OSRRefE21_14_3x" localSheetId="72">'491'!$J$80:$O$80</definedName>
    <definedName name="OSRRefE21_14_3x" localSheetId="85">'492'!$J$80:$O$80</definedName>
    <definedName name="OSRRefE21_14_3x" localSheetId="70">'Div 4'!$J$79:$O$79</definedName>
    <definedName name="OSRRefE21_14_4x" localSheetId="63">'310'!$J$79:$O$79</definedName>
    <definedName name="OSRRefE21_14_4x" localSheetId="71">'310 &amp; 491'!$J$83:$O$83</definedName>
    <definedName name="OSRRefE21_14_4x" localSheetId="79">'415'!$J$80:$O$80</definedName>
    <definedName name="OSRRefE21_14_4x" localSheetId="72">'491'!$J$81:$O$81</definedName>
    <definedName name="OSRRefE21_14_4x" localSheetId="85">'492'!$J$81:$O$81</definedName>
    <definedName name="OSRRefE21_14_5x" localSheetId="85">'492'!$J$82:$O$82</definedName>
    <definedName name="OSRRefE21_14_6x" localSheetId="85">'492'!$J$83:$O$83</definedName>
    <definedName name="OSRRefE21_14_7x" localSheetId="85">'492'!$J$84:$O$84</definedName>
    <definedName name="OSRRefE21_14x_0" localSheetId="41">'201'!$J$68</definedName>
    <definedName name="OSRRefE21_14x_0" localSheetId="48">'300'!$J$102</definedName>
    <definedName name="OSRRefE21_14x_0" localSheetId="49">'300 &amp; 317'!$J$108</definedName>
    <definedName name="OSRRefE21_14x_0" localSheetId="50">'301'!$J$68</definedName>
    <definedName name="OSRRefE21_14x_0" localSheetId="63">'310'!$J$75:$J$79</definedName>
    <definedName name="OSRRefE21_14x_0" localSheetId="71">'310 &amp; 491'!$J$79:$J$83</definedName>
    <definedName name="OSRRefE21_14x_0" localSheetId="57">'315'!$J$92:$J$93</definedName>
    <definedName name="OSRRefE21_14x_0" localSheetId="68">'325'!$J$77:$J$78</definedName>
    <definedName name="OSRRefE21_14x_0" localSheetId="58">'326'!$J$75:$J$77</definedName>
    <definedName name="OSRRefE21_14x_0" localSheetId="56">'331'!$J$89:$J$90</definedName>
    <definedName name="OSRRefE21_14x_0" localSheetId="73">'405'!$J$82</definedName>
    <definedName name="OSRRefE21_14x_0" localSheetId="75">'411'!$J$69</definedName>
    <definedName name="OSRRefE21_14x_0" localSheetId="79">'415'!$J$76:$J$80</definedName>
    <definedName name="OSRRefE21_14x_0" localSheetId="80">'418'!$J$80</definedName>
    <definedName name="OSRRefE21_14x_0" localSheetId="87">'433'!$J$84</definedName>
    <definedName name="OSRRefE21_14x_0" localSheetId="88">'444'!$J$83</definedName>
    <definedName name="OSRRefE21_14x_0" localSheetId="89">'450'!$J$82</definedName>
    <definedName name="OSRRefE21_14x_0" localSheetId="72">'491'!$J$77:$J$81</definedName>
    <definedName name="OSRRefE21_14x_0" localSheetId="85">'492'!$J$77:$J$84</definedName>
    <definedName name="OSRRefE21_14x_0" localSheetId="39">'Div 2'!$J$73:$J$74</definedName>
    <definedName name="OSRRefE21_14x_0" localSheetId="47">'Div 3'!$J$106</definedName>
    <definedName name="OSRRefE21_14x_0" localSheetId="70">'Div 4'!$J$76:$J$79</definedName>
    <definedName name="OSRRefE21_14x_0" localSheetId="2">Summary!$J$115</definedName>
    <definedName name="OSRRefE21_14x_1" localSheetId="41">'201'!$K$68</definedName>
    <definedName name="OSRRefE21_14x_1" localSheetId="48">'300'!$K$102</definedName>
    <definedName name="OSRRefE21_14x_1" localSheetId="49">'300 &amp; 317'!$K$108</definedName>
    <definedName name="OSRRefE21_14x_1" localSheetId="50">'301'!$K$68</definedName>
    <definedName name="OSRRefE21_14x_1" localSheetId="63">'310'!$K$75:$K$79</definedName>
    <definedName name="OSRRefE21_14x_1" localSheetId="71">'310 &amp; 491'!$K$79:$K$83</definedName>
    <definedName name="OSRRefE21_14x_1" localSheetId="57">'315'!$K$92:$K$93</definedName>
    <definedName name="OSRRefE21_14x_1" localSheetId="68">'325'!$K$77:$K$78</definedName>
    <definedName name="OSRRefE21_14x_1" localSheetId="58">'326'!$K$75:$K$77</definedName>
    <definedName name="OSRRefE21_14x_1" localSheetId="56">'331'!$K$89:$K$90</definedName>
    <definedName name="OSRRefE21_14x_1" localSheetId="73">'405'!$K$82</definedName>
    <definedName name="OSRRefE21_14x_1" localSheetId="75">'411'!$K$69</definedName>
    <definedName name="OSRRefE21_14x_1" localSheetId="79">'415'!$K$76:$K$80</definedName>
    <definedName name="OSRRefE21_14x_1" localSheetId="80">'418'!$K$80</definedName>
    <definedName name="OSRRefE21_14x_1" localSheetId="87">'433'!$K$84</definedName>
    <definedName name="OSRRefE21_14x_1" localSheetId="88">'444'!$K$83</definedName>
    <definedName name="OSRRefE21_14x_1" localSheetId="89">'450'!$K$82</definedName>
    <definedName name="OSRRefE21_14x_1" localSheetId="72">'491'!$K$77:$K$81</definedName>
    <definedName name="OSRRefE21_14x_1" localSheetId="85">'492'!$K$77:$K$84</definedName>
    <definedName name="OSRRefE21_14x_1" localSheetId="39">'Div 2'!$K$73:$K$74</definedName>
    <definedName name="OSRRefE21_14x_1" localSheetId="47">'Div 3'!$K$106</definedName>
    <definedName name="OSRRefE21_14x_1" localSheetId="70">'Div 4'!$K$76:$K$79</definedName>
    <definedName name="OSRRefE21_14x_1" localSheetId="2">Summary!$K$115</definedName>
    <definedName name="OSRRefE21_14x_2" localSheetId="41">'201'!$L$68</definedName>
    <definedName name="OSRRefE21_14x_2" localSheetId="48">'300'!$L$102</definedName>
    <definedName name="OSRRefE21_14x_2" localSheetId="49">'300 &amp; 317'!$L$108</definedName>
    <definedName name="OSRRefE21_14x_2" localSheetId="50">'301'!$L$68</definedName>
    <definedName name="OSRRefE21_14x_2" localSheetId="63">'310'!$L$75:$L$79</definedName>
    <definedName name="OSRRefE21_14x_2" localSheetId="71">'310 &amp; 491'!$L$79:$L$83</definedName>
    <definedName name="OSRRefE21_14x_2" localSheetId="57">'315'!$L$92:$L$93</definedName>
    <definedName name="OSRRefE21_14x_2" localSheetId="68">'325'!$L$77:$L$78</definedName>
    <definedName name="OSRRefE21_14x_2" localSheetId="58">'326'!$L$75:$L$77</definedName>
    <definedName name="OSRRefE21_14x_2" localSheetId="56">'331'!$L$89:$L$90</definedName>
    <definedName name="OSRRefE21_14x_2" localSheetId="73">'405'!$L$82</definedName>
    <definedName name="OSRRefE21_14x_2" localSheetId="75">'411'!$L$69</definedName>
    <definedName name="OSRRefE21_14x_2" localSheetId="79">'415'!$L$76:$L$80</definedName>
    <definedName name="OSRRefE21_14x_2" localSheetId="80">'418'!$L$80</definedName>
    <definedName name="OSRRefE21_14x_2" localSheetId="87">'433'!$L$84</definedName>
    <definedName name="OSRRefE21_14x_2" localSheetId="88">'444'!$L$83</definedName>
    <definedName name="OSRRefE21_14x_2" localSheetId="89">'450'!$L$82</definedName>
    <definedName name="OSRRefE21_14x_2" localSheetId="72">'491'!$L$77:$L$81</definedName>
    <definedName name="OSRRefE21_14x_2" localSheetId="85">'492'!$L$77:$L$84</definedName>
    <definedName name="OSRRefE21_14x_2" localSheetId="39">'Div 2'!$L$73:$L$74</definedName>
    <definedName name="OSRRefE21_14x_2" localSheetId="47">'Div 3'!$L$106</definedName>
    <definedName name="OSRRefE21_14x_2" localSheetId="70">'Div 4'!$L$76:$L$79</definedName>
    <definedName name="OSRRefE21_14x_2" localSheetId="2">Summary!$L$115</definedName>
    <definedName name="OSRRefE21_14x_3" localSheetId="41">'201'!$M$68</definedName>
    <definedName name="OSRRefE21_14x_3" localSheetId="48">'300'!$M$102</definedName>
    <definedName name="OSRRefE21_14x_3" localSheetId="49">'300 &amp; 317'!$M$108</definedName>
    <definedName name="OSRRefE21_14x_3" localSheetId="50">'301'!$M$68</definedName>
    <definedName name="OSRRefE21_14x_3" localSheetId="63">'310'!$M$75:$M$79</definedName>
    <definedName name="OSRRefE21_14x_3" localSheetId="71">'310 &amp; 491'!$M$79:$M$83</definedName>
    <definedName name="OSRRefE21_14x_3" localSheetId="57">'315'!$M$92:$M$93</definedName>
    <definedName name="OSRRefE21_14x_3" localSheetId="68">'325'!$M$77:$M$78</definedName>
    <definedName name="OSRRefE21_14x_3" localSheetId="58">'326'!$M$75:$M$77</definedName>
    <definedName name="OSRRefE21_14x_3" localSheetId="56">'331'!$M$89:$M$90</definedName>
    <definedName name="OSRRefE21_14x_3" localSheetId="73">'405'!$M$82</definedName>
    <definedName name="OSRRefE21_14x_3" localSheetId="75">'411'!$M$69</definedName>
    <definedName name="OSRRefE21_14x_3" localSheetId="79">'415'!$M$76:$M$80</definedName>
    <definedName name="OSRRefE21_14x_3" localSheetId="80">'418'!$M$80</definedName>
    <definedName name="OSRRefE21_14x_3" localSheetId="87">'433'!$M$84</definedName>
    <definedName name="OSRRefE21_14x_3" localSheetId="88">'444'!$M$83</definedName>
    <definedName name="OSRRefE21_14x_3" localSheetId="89">'450'!$M$82</definedName>
    <definedName name="OSRRefE21_14x_3" localSheetId="72">'491'!$M$77:$M$81</definedName>
    <definedName name="OSRRefE21_14x_3" localSheetId="85">'492'!$M$77:$M$84</definedName>
    <definedName name="OSRRefE21_14x_3" localSheetId="39">'Div 2'!$M$73:$M$74</definedName>
    <definedName name="OSRRefE21_14x_3" localSheetId="47">'Div 3'!$M$106</definedName>
    <definedName name="OSRRefE21_14x_3" localSheetId="70">'Div 4'!$M$76:$M$79</definedName>
    <definedName name="OSRRefE21_14x_3" localSheetId="2">Summary!$M$115</definedName>
    <definedName name="OSRRefE21_14x_4" localSheetId="41">'201'!$N$68</definedName>
    <definedName name="OSRRefE21_14x_4" localSheetId="48">'300'!$N$102</definedName>
    <definedName name="OSRRefE21_14x_4" localSheetId="49">'300 &amp; 317'!$N$108</definedName>
    <definedName name="OSRRefE21_14x_4" localSheetId="50">'301'!$N$68</definedName>
    <definedName name="OSRRefE21_14x_4" localSheetId="63">'310'!$N$75:$N$79</definedName>
    <definedName name="OSRRefE21_14x_4" localSheetId="71">'310 &amp; 491'!$N$79:$N$83</definedName>
    <definedName name="OSRRefE21_14x_4" localSheetId="57">'315'!$N$92:$N$93</definedName>
    <definedName name="OSRRefE21_14x_4" localSheetId="68">'325'!$N$77:$N$78</definedName>
    <definedName name="OSRRefE21_14x_4" localSheetId="58">'326'!$N$75:$N$77</definedName>
    <definedName name="OSRRefE21_14x_4" localSheetId="56">'331'!$N$89:$N$90</definedName>
    <definedName name="OSRRefE21_14x_4" localSheetId="73">'405'!$N$82</definedName>
    <definedName name="OSRRefE21_14x_4" localSheetId="75">'411'!$N$69</definedName>
    <definedName name="OSRRefE21_14x_4" localSheetId="79">'415'!$N$76:$N$80</definedName>
    <definedName name="OSRRefE21_14x_4" localSheetId="80">'418'!$N$80</definedName>
    <definedName name="OSRRefE21_14x_4" localSheetId="87">'433'!$N$84</definedName>
    <definedName name="OSRRefE21_14x_4" localSheetId="88">'444'!$N$83</definedName>
    <definedName name="OSRRefE21_14x_4" localSheetId="89">'450'!$N$82</definedName>
    <definedName name="OSRRefE21_14x_4" localSheetId="72">'491'!$N$77:$N$81</definedName>
    <definedName name="OSRRefE21_14x_4" localSheetId="85">'492'!$N$77:$N$84</definedName>
    <definedName name="OSRRefE21_14x_4" localSheetId="39">'Div 2'!$N$73:$N$74</definedName>
    <definedName name="OSRRefE21_14x_4" localSheetId="47">'Div 3'!$N$106</definedName>
    <definedName name="OSRRefE21_14x_4" localSheetId="70">'Div 4'!$N$76:$N$79</definedName>
    <definedName name="OSRRefE21_14x_4" localSheetId="2">Summary!$N$115</definedName>
    <definedName name="OSRRefE21_14x_5" localSheetId="41">'201'!$O$68</definedName>
    <definedName name="OSRRefE21_14x_5" localSheetId="48">'300'!$O$102</definedName>
    <definedName name="OSRRefE21_14x_5" localSheetId="49">'300 &amp; 317'!$O$108</definedName>
    <definedName name="OSRRefE21_14x_5" localSheetId="50">'301'!$O$68</definedName>
    <definedName name="OSRRefE21_14x_5" localSheetId="63">'310'!$O$75:$O$79</definedName>
    <definedName name="OSRRefE21_14x_5" localSheetId="71">'310 &amp; 491'!$O$79:$O$83</definedName>
    <definedName name="OSRRefE21_14x_5" localSheetId="57">'315'!$O$92:$O$93</definedName>
    <definedName name="OSRRefE21_14x_5" localSheetId="68">'325'!$O$77:$O$78</definedName>
    <definedName name="OSRRefE21_14x_5" localSheetId="58">'326'!$O$75:$O$77</definedName>
    <definedName name="OSRRefE21_14x_5" localSheetId="56">'331'!$O$89:$O$90</definedName>
    <definedName name="OSRRefE21_14x_5" localSheetId="73">'405'!$O$82</definedName>
    <definedName name="OSRRefE21_14x_5" localSheetId="75">'411'!$O$69</definedName>
    <definedName name="OSRRefE21_14x_5" localSheetId="79">'415'!$O$76:$O$80</definedName>
    <definedName name="OSRRefE21_14x_5" localSheetId="80">'418'!$O$80</definedName>
    <definedName name="OSRRefE21_14x_5" localSheetId="87">'433'!$O$84</definedName>
    <definedName name="OSRRefE21_14x_5" localSheetId="88">'444'!$O$83</definedName>
    <definedName name="OSRRefE21_14x_5" localSheetId="89">'450'!$O$82</definedName>
    <definedName name="OSRRefE21_14x_5" localSheetId="72">'491'!$O$77:$O$81</definedName>
    <definedName name="OSRRefE21_14x_5" localSheetId="85">'492'!$O$77:$O$84</definedName>
    <definedName name="OSRRefE21_14x_5" localSheetId="39">'Div 2'!$O$73:$O$74</definedName>
    <definedName name="OSRRefE21_14x_5" localSheetId="47">'Div 3'!$O$106</definedName>
    <definedName name="OSRRefE21_14x_5" localSheetId="70">'Div 4'!$O$76:$O$79</definedName>
    <definedName name="OSRRefE21_14x_5" localSheetId="2">Summary!$O$115</definedName>
    <definedName name="OSRRefE21_15_0x" localSheetId="48">'300'!$J$104:$O$104</definedName>
    <definedName name="OSRRefE21_15_0x" localSheetId="49">'300 &amp; 317'!$J$110:$O$110</definedName>
    <definedName name="OSRRefE21_15_0x" localSheetId="50">'301'!$J$70:$O$70</definedName>
    <definedName name="OSRRefE21_15_0x" localSheetId="63">'310'!$J$81:$O$81</definedName>
    <definedName name="OSRRefE21_15_0x" localSheetId="71">'310 &amp; 491'!$J$85:$O$85</definedName>
    <definedName name="OSRRefE21_15_0x" localSheetId="57">'315'!$J$95:$O$95</definedName>
    <definedName name="OSRRefE21_15_0x" localSheetId="68">'325'!$J$80:$O$80</definedName>
    <definedName name="OSRRefE21_15_0x" localSheetId="58">'326'!$J$79:$O$79</definedName>
    <definedName name="OSRRefE21_15_0x" localSheetId="56">'331'!$J$92:$O$92</definedName>
    <definedName name="OSRRefE21_15_0x" localSheetId="73">'405'!$J$84:$O$84</definedName>
    <definedName name="OSRRefE21_15_0x" localSheetId="79">'415'!$J$82:$O$82</definedName>
    <definedName name="OSRRefE21_15_0x" localSheetId="80">'418'!$J$82:$O$82</definedName>
    <definedName name="OSRRefE21_15_0x" localSheetId="87">'433'!$J$86:$O$86</definedName>
    <definedName name="OSRRefE21_15_0x" localSheetId="88">'444'!$J$85:$O$85</definedName>
    <definedName name="OSRRefE21_15_0x" localSheetId="89">'450'!$J$84:$O$84</definedName>
    <definedName name="OSRRefE21_15_0x" localSheetId="72">'491'!$J$83:$O$83</definedName>
    <definedName name="OSRRefE21_15_0x" localSheetId="85">'492'!$J$86:$O$86</definedName>
    <definedName name="OSRRefE21_15_0x" localSheetId="39">'Div 2'!$J$76:$O$76</definedName>
    <definedName name="OSRRefE21_15_0x" localSheetId="47">'Div 3'!$J$108:$O$108</definedName>
    <definedName name="OSRRefE21_15_0x" localSheetId="70">'Div 4'!$J$81:$O$81</definedName>
    <definedName name="OSRRefE21_15_0x" localSheetId="2">Summary!$J$117:$O$117</definedName>
    <definedName name="OSRRefE21_15_1x" localSheetId="50">'301'!$J$71:$O$71</definedName>
    <definedName name="OSRRefE21_15_1x" localSheetId="63">'310'!$J$82:$O$82</definedName>
    <definedName name="OSRRefE21_15_1x" localSheetId="57">'315'!$J$96:$O$96</definedName>
    <definedName name="OSRRefE21_15_1x" localSheetId="56">'331'!$J$93:$O$93</definedName>
    <definedName name="OSRRefE21_15_1x" localSheetId="79">'415'!$J$83:$O$83</definedName>
    <definedName name="OSRRefE21_15_1x" localSheetId="85">'492'!$J$87:$O$87</definedName>
    <definedName name="OSRRefE21_15_2x" localSheetId="50">'301'!$J$72:$O$72</definedName>
    <definedName name="OSRRefE21_15_2x" localSheetId="57">'315'!$J$97:$O$97</definedName>
    <definedName name="OSRRefE21_15_2x" localSheetId="56">'331'!$J$94:$O$94</definedName>
    <definedName name="OSRRefE21_15_3x" localSheetId="50">'301'!$J$73:$O$73</definedName>
    <definedName name="OSRRefE21_15_3x" localSheetId="57">'315'!$J$98:$O$98</definedName>
    <definedName name="OSRRefE21_15x_0" localSheetId="48">'300'!$J$104</definedName>
    <definedName name="OSRRefE21_15x_0" localSheetId="49">'300 &amp; 317'!$J$110</definedName>
    <definedName name="OSRRefE21_15x_0" localSheetId="50">'301'!$J$70:$J$73</definedName>
    <definedName name="OSRRefE21_15x_0" localSheetId="63">'310'!$J$81:$J$82</definedName>
    <definedName name="OSRRefE21_15x_0" localSheetId="71">'310 &amp; 491'!$J$85</definedName>
    <definedName name="OSRRefE21_15x_0" localSheetId="57">'315'!$J$95:$J$98</definedName>
    <definedName name="OSRRefE21_15x_0" localSheetId="68">'325'!$J$80</definedName>
    <definedName name="OSRRefE21_15x_0" localSheetId="58">'326'!$J$79</definedName>
    <definedName name="OSRRefE21_15x_0" localSheetId="56">'331'!$J$92:$J$94</definedName>
    <definedName name="OSRRefE21_15x_0" localSheetId="73">'405'!$J$84</definedName>
    <definedName name="OSRRefE21_15x_0" localSheetId="79">'415'!$J$82:$J$83</definedName>
    <definedName name="OSRRefE21_15x_0" localSheetId="80">'418'!$J$82</definedName>
    <definedName name="OSRRefE21_15x_0" localSheetId="87">'433'!$J$86</definedName>
    <definedName name="OSRRefE21_15x_0" localSheetId="88">'444'!$J$85</definedName>
    <definedName name="OSRRefE21_15x_0" localSheetId="89">'450'!$J$84</definedName>
    <definedName name="OSRRefE21_15x_0" localSheetId="72">'491'!$J$83</definedName>
    <definedName name="OSRRefE21_15x_0" localSheetId="85">'492'!$J$86:$J$87</definedName>
    <definedName name="OSRRefE21_15x_0" localSheetId="39">'Div 2'!$J$76</definedName>
    <definedName name="OSRRefE21_15x_0" localSheetId="47">'Div 3'!$J$108</definedName>
    <definedName name="OSRRefE21_15x_0" localSheetId="70">'Div 4'!$J$81</definedName>
    <definedName name="OSRRefE21_15x_0" localSheetId="2">Summary!$J$117</definedName>
    <definedName name="OSRRefE21_15x_1" localSheetId="48">'300'!$K$104</definedName>
    <definedName name="OSRRefE21_15x_1" localSheetId="49">'300 &amp; 317'!$K$110</definedName>
    <definedName name="OSRRefE21_15x_1" localSheetId="50">'301'!$K$70:$K$73</definedName>
    <definedName name="OSRRefE21_15x_1" localSheetId="63">'310'!$K$81:$K$82</definedName>
    <definedName name="OSRRefE21_15x_1" localSheetId="71">'310 &amp; 491'!$K$85</definedName>
    <definedName name="OSRRefE21_15x_1" localSheetId="57">'315'!$K$95:$K$98</definedName>
    <definedName name="OSRRefE21_15x_1" localSheetId="68">'325'!$K$80</definedName>
    <definedName name="OSRRefE21_15x_1" localSheetId="58">'326'!$K$79</definedName>
    <definedName name="OSRRefE21_15x_1" localSheetId="56">'331'!$K$92:$K$94</definedName>
    <definedName name="OSRRefE21_15x_1" localSheetId="73">'405'!$K$84</definedName>
    <definedName name="OSRRefE21_15x_1" localSheetId="79">'415'!$K$82:$K$83</definedName>
    <definedName name="OSRRefE21_15x_1" localSheetId="80">'418'!$K$82</definedName>
    <definedName name="OSRRefE21_15x_1" localSheetId="87">'433'!$K$86</definedName>
    <definedName name="OSRRefE21_15x_1" localSheetId="88">'444'!$K$85</definedName>
    <definedName name="OSRRefE21_15x_1" localSheetId="89">'450'!$K$84</definedName>
    <definedName name="OSRRefE21_15x_1" localSheetId="72">'491'!$K$83</definedName>
    <definedName name="OSRRefE21_15x_1" localSheetId="85">'492'!$K$86:$K$87</definedName>
    <definedName name="OSRRefE21_15x_1" localSheetId="39">'Div 2'!$K$76</definedName>
    <definedName name="OSRRefE21_15x_1" localSheetId="47">'Div 3'!$K$108</definedName>
    <definedName name="OSRRefE21_15x_1" localSheetId="70">'Div 4'!$K$81</definedName>
    <definedName name="OSRRefE21_15x_1" localSheetId="2">Summary!$K$117</definedName>
    <definedName name="OSRRefE21_15x_2" localSheetId="48">'300'!$L$104</definedName>
    <definedName name="OSRRefE21_15x_2" localSheetId="49">'300 &amp; 317'!$L$110</definedName>
    <definedName name="OSRRefE21_15x_2" localSheetId="50">'301'!$L$70:$L$73</definedName>
    <definedName name="OSRRefE21_15x_2" localSheetId="63">'310'!$L$81:$L$82</definedName>
    <definedName name="OSRRefE21_15x_2" localSheetId="71">'310 &amp; 491'!$L$85</definedName>
    <definedName name="OSRRefE21_15x_2" localSheetId="57">'315'!$L$95:$L$98</definedName>
    <definedName name="OSRRefE21_15x_2" localSheetId="68">'325'!$L$80</definedName>
    <definedName name="OSRRefE21_15x_2" localSheetId="58">'326'!$L$79</definedName>
    <definedName name="OSRRefE21_15x_2" localSheetId="56">'331'!$L$92:$L$94</definedName>
    <definedName name="OSRRefE21_15x_2" localSheetId="73">'405'!$L$84</definedName>
    <definedName name="OSRRefE21_15x_2" localSheetId="79">'415'!$L$82:$L$83</definedName>
    <definedName name="OSRRefE21_15x_2" localSheetId="80">'418'!$L$82</definedName>
    <definedName name="OSRRefE21_15x_2" localSheetId="87">'433'!$L$86</definedName>
    <definedName name="OSRRefE21_15x_2" localSheetId="88">'444'!$L$85</definedName>
    <definedName name="OSRRefE21_15x_2" localSheetId="89">'450'!$L$84</definedName>
    <definedName name="OSRRefE21_15x_2" localSheetId="72">'491'!$L$83</definedName>
    <definedName name="OSRRefE21_15x_2" localSheetId="85">'492'!$L$86:$L$87</definedName>
    <definedName name="OSRRefE21_15x_2" localSheetId="39">'Div 2'!$L$76</definedName>
    <definedName name="OSRRefE21_15x_2" localSheetId="47">'Div 3'!$L$108</definedName>
    <definedName name="OSRRefE21_15x_2" localSheetId="70">'Div 4'!$L$81</definedName>
    <definedName name="OSRRefE21_15x_2" localSheetId="2">Summary!$L$117</definedName>
    <definedName name="OSRRefE21_15x_3" localSheetId="48">'300'!$M$104</definedName>
    <definedName name="OSRRefE21_15x_3" localSheetId="49">'300 &amp; 317'!$M$110</definedName>
    <definedName name="OSRRefE21_15x_3" localSheetId="50">'301'!$M$70:$M$73</definedName>
    <definedName name="OSRRefE21_15x_3" localSheetId="63">'310'!$M$81:$M$82</definedName>
    <definedName name="OSRRefE21_15x_3" localSheetId="71">'310 &amp; 491'!$M$85</definedName>
    <definedName name="OSRRefE21_15x_3" localSheetId="57">'315'!$M$95:$M$98</definedName>
    <definedName name="OSRRefE21_15x_3" localSheetId="68">'325'!$M$80</definedName>
    <definedName name="OSRRefE21_15x_3" localSheetId="58">'326'!$M$79</definedName>
    <definedName name="OSRRefE21_15x_3" localSheetId="56">'331'!$M$92:$M$94</definedName>
    <definedName name="OSRRefE21_15x_3" localSheetId="73">'405'!$M$84</definedName>
    <definedName name="OSRRefE21_15x_3" localSheetId="79">'415'!$M$82:$M$83</definedName>
    <definedName name="OSRRefE21_15x_3" localSheetId="80">'418'!$M$82</definedName>
    <definedName name="OSRRefE21_15x_3" localSheetId="87">'433'!$M$86</definedName>
    <definedName name="OSRRefE21_15x_3" localSheetId="88">'444'!$M$85</definedName>
    <definedName name="OSRRefE21_15x_3" localSheetId="89">'450'!$M$84</definedName>
    <definedName name="OSRRefE21_15x_3" localSheetId="72">'491'!$M$83</definedName>
    <definedName name="OSRRefE21_15x_3" localSheetId="85">'492'!$M$86:$M$87</definedName>
    <definedName name="OSRRefE21_15x_3" localSheetId="39">'Div 2'!$M$76</definedName>
    <definedName name="OSRRefE21_15x_3" localSheetId="47">'Div 3'!$M$108</definedName>
    <definedName name="OSRRefE21_15x_3" localSheetId="70">'Div 4'!$M$81</definedName>
    <definedName name="OSRRefE21_15x_3" localSheetId="2">Summary!$M$117</definedName>
    <definedName name="OSRRefE21_15x_4" localSheetId="48">'300'!$N$104</definedName>
    <definedName name="OSRRefE21_15x_4" localSheetId="49">'300 &amp; 317'!$N$110</definedName>
    <definedName name="OSRRefE21_15x_4" localSheetId="50">'301'!$N$70:$N$73</definedName>
    <definedName name="OSRRefE21_15x_4" localSheetId="63">'310'!$N$81:$N$82</definedName>
    <definedName name="OSRRefE21_15x_4" localSheetId="71">'310 &amp; 491'!$N$85</definedName>
    <definedName name="OSRRefE21_15x_4" localSheetId="57">'315'!$N$95:$N$98</definedName>
    <definedName name="OSRRefE21_15x_4" localSheetId="68">'325'!$N$80</definedName>
    <definedName name="OSRRefE21_15x_4" localSheetId="58">'326'!$N$79</definedName>
    <definedName name="OSRRefE21_15x_4" localSheetId="56">'331'!$N$92:$N$94</definedName>
    <definedName name="OSRRefE21_15x_4" localSheetId="73">'405'!$N$84</definedName>
    <definedName name="OSRRefE21_15x_4" localSheetId="79">'415'!$N$82:$N$83</definedName>
    <definedName name="OSRRefE21_15x_4" localSheetId="80">'418'!$N$82</definedName>
    <definedName name="OSRRefE21_15x_4" localSheetId="87">'433'!$N$86</definedName>
    <definedName name="OSRRefE21_15x_4" localSheetId="88">'444'!$N$85</definedName>
    <definedName name="OSRRefE21_15x_4" localSheetId="89">'450'!$N$84</definedName>
    <definedName name="OSRRefE21_15x_4" localSheetId="72">'491'!$N$83</definedName>
    <definedName name="OSRRefE21_15x_4" localSheetId="85">'492'!$N$86:$N$87</definedName>
    <definedName name="OSRRefE21_15x_4" localSheetId="39">'Div 2'!$N$76</definedName>
    <definedName name="OSRRefE21_15x_4" localSheetId="47">'Div 3'!$N$108</definedName>
    <definedName name="OSRRefE21_15x_4" localSheetId="70">'Div 4'!$N$81</definedName>
    <definedName name="OSRRefE21_15x_4" localSheetId="2">Summary!$N$117</definedName>
    <definedName name="OSRRefE21_15x_5" localSheetId="48">'300'!$O$104</definedName>
    <definedName name="OSRRefE21_15x_5" localSheetId="49">'300 &amp; 317'!$O$110</definedName>
    <definedName name="OSRRefE21_15x_5" localSheetId="50">'301'!$O$70:$O$73</definedName>
    <definedName name="OSRRefE21_15x_5" localSheetId="63">'310'!$O$81:$O$82</definedName>
    <definedName name="OSRRefE21_15x_5" localSheetId="71">'310 &amp; 491'!$O$85</definedName>
    <definedName name="OSRRefE21_15x_5" localSheetId="57">'315'!$O$95:$O$98</definedName>
    <definedName name="OSRRefE21_15x_5" localSheetId="68">'325'!$O$80</definedName>
    <definedName name="OSRRefE21_15x_5" localSheetId="58">'326'!$O$79</definedName>
    <definedName name="OSRRefE21_15x_5" localSheetId="56">'331'!$O$92:$O$94</definedName>
    <definedName name="OSRRefE21_15x_5" localSheetId="73">'405'!$O$84</definedName>
    <definedName name="OSRRefE21_15x_5" localSheetId="79">'415'!$O$82:$O$83</definedName>
    <definedName name="OSRRefE21_15x_5" localSheetId="80">'418'!$O$82</definedName>
    <definedName name="OSRRefE21_15x_5" localSheetId="87">'433'!$O$86</definedName>
    <definedName name="OSRRefE21_15x_5" localSheetId="88">'444'!$O$85</definedName>
    <definedName name="OSRRefE21_15x_5" localSheetId="89">'450'!$O$84</definedName>
    <definedName name="OSRRefE21_15x_5" localSheetId="72">'491'!$O$83</definedName>
    <definedName name="OSRRefE21_15x_5" localSheetId="85">'492'!$O$86:$O$87</definedName>
    <definedName name="OSRRefE21_15x_5" localSheetId="39">'Div 2'!$O$76</definedName>
    <definedName name="OSRRefE21_15x_5" localSheetId="47">'Div 3'!$O$108</definedName>
    <definedName name="OSRRefE21_15x_5" localSheetId="70">'Div 4'!$O$81</definedName>
    <definedName name="OSRRefE21_15x_5" localSheetId="2">Summary!$O$117</definedName>
    <definedName name="OSRRefE21_16_0x" localSheetId="48">'300'!$J$106:$O$106</definedName>
    <definedName name="OSRRefE21_16_0x" localSheetId="49">'300 &amp; 317'!$J$112:$O$112</definedName>
    <definedName name="OSRRefE21_16_0x" localSheetId="50">'301'!$J$75:$O$75</definedName>
    <definedName name="OSRRefE21_16_0x" localSheetId="63">'310'!$J$84:$O$84</definedName>
    <definedName name="OSRRefE21_16_0x" localSheetId="71">'310 &amp; 491'!$J$87:$O$87</definedName>
    <definedName name="OSRRefE21_16_0x" localSheetId="57">'315'!$J$100:$O$100</definedName>
    <definedName name="OSRRefE21_16_0x" localSheetId="58">'326'!$J$81:$O$81</definedName>
    <definedName name="OSRRefE21_16_0x" localSheetId="56">'331'!$J$96:$O$96</definedName>
    <definedName name="OSRRefE21_16_0x" localSheetId="73">'405'!$J$86:$O$86</definedName>
    <definedName name="OSRRefE21_16_0x" localSheetId="79">'415'!$J$85:$O$85</definedName>
    <definedName name="OSRRefE21_16_0x" localSheetId="89">'450'!$J$86:$O$86</definedName>
    <definedName name="OSRRefE21_16_0x" localSheetId="72">'491'!$J$85:$O$85</definedName>
    <definedName name="OSRRefE21_16_0x" localSheetId="85">'492'!$J$89:$O$89</definedName>
    <definedName name="OSRRefE21_16_0x" localSheetId="39">'Div 2'!$J$78:$O$78</definedName>
    <definedName name="OSRRefE21_16_0x" localSheetId="47">'Div 3'!$J$110:$O$110</definedName>
    <definedName name="OSRRefE21_16_0x" localSheetId="70">'Div 4'!$J$83:$O$83</definedName>
    <definedName name="OSRRefE21_16_0x" localSheetId="2">Summary!$J$119:$O$119</definedName>
    <definedName name="OSRRefE21_16_1x" localSheetId="48">'300'!$J$107:$O$107</definedName>
    <definedName name="OSRRefE21_16_1x" localSheetId="49">'300 &amp; 317'!$J$113:$O$113</definedName>
    <definedName name="OSRRefE21_16_1x" localSheetId="50">'301'!$J$76:$O$76</definedName>
    <definedName name="OSRRefE21_16_1x" localSheetId="71">'310 &amp; 491'!$J$88:$O$88</definedName>
    <definedName name="OSRRefE21_16_1x" localSheetId="58">'326'!$J$82:$O$82</definedName>
    <definedName name="OSRRefE21_16_1x" localSheetId="56">'331'!$J$97:$O$97</definedName>
    <definedName name="OSRRefE21_16_1x" localSheetId="72">'491'!$J$86:$O$86</definedName>
    <definedName name="OSRRefE21_16_1x" localSheetId="39">'Div 2'!$J$79:$O$79</definedName>
    <definedName name="OSRRefE21_16_1x" localSheetId="70">'Div 4'!$J$84:$O$84</definedName>
    <definedName name="OSRRefE21_16_2x" localSheetId="48">'300'!$J$108:$O$108</definedName>
    <definedName name="OSRRefE21_16_2x" localSheetId="49">'300 &amp; 317'!$J$114:$O$114</definedName>
    <definedName name="OSRRefE21_16_2x" localSheetId="71">'310 &amp; 491'!$J$89:$O$89</definedName>
    <definedName name="OSRRefE21_16_2x" localSheetId="72">'491'!$J$87:$O$87</definedName>
    <definedName name="OSRRefE21_16_2x" localSheetId="39">'Div 2'!$J$80:$O$80</definedName>
    <definedName name="OSRRefE21_16_2x" localSheetId="70">'Div 4'!$J$85:$O$85</definedName>
    <definedName name="OSRRefE21_16_3x" localSheetId="48">'300'!$J$109:$O$109</definedName>
    <definedName name="OSRRefE21_16_3x" localSheetId="49">'300 &amp; 317'!$J$115:$O$115</definedName>
    <definedName name="OSRRefE21_16_3x" localSheetId="71">'310 &amp; 491'!$J$90:$O$90</definedName>
    <definedName name="OSRRefE21_16_3x" localSheetId="72">'491'!$J$88:$O$88</definedName>
    <definedName name="OSRRefE21_16_3x" localSheetId="39">'Div 2'!$J$81:$O$81</definedName>
    <definedName name="OSRRefE21_16_3x" localSheetId="70">'Div 4'!$J$86:$O$86</definedName>
    <definedName name="OSRRefE21_16_4x" localSheetId="71">'310 &amp; 491'!$J$91:$O$91</definedName>
    <definedName name="OSRRefE21_16_4x" localSheetId="72">'491'!$J$89:$O$89</definedName>
    <definedName name="OSRRefE21_16_4x" localSheetId="39">'Div 2'!$J$82:$O$82</definedName>
    <definedName name="OSRRefE21_16_4x" localSheetId="70">'Div 4'!$J$87:$O$87</definedName>
    <definedName name="OSRRefE21_16_5x" localSheetId="71">'310 &amp; 491'!$J$92:$O$92</definedName>
    <definedName name="OSRRefE21_16_5x" localSheetId="72">'491'!$J$90:$O$90</definedName>
    <definedName name="OSRRefE21_16_6x" localSheetId="71">'310 &amp; 491'!$J$93:$O$93</definedName>
    <definedName name="OSRRefE21_16_6x" localSheetId="72">'491'!$J$91:$O$91</definedName>
    <definedName name="OSRRefE21_16_7x" localSheetId="71">'310 &amp; 491'!$J$94:$O$94</definedName>
    <definedName name="OSRRefE21_16_7x" localSheetId="72">'491'!$J$92:$O$92</definedName>
    <definedName name="OSRRefE21_16_8x" localSheetId="71">'310 &amp; 491'!$J$95:$O$95</definedName>
    <definedName name="OSRRefE21_16_8x" localSheetId="72">'491'!$J$93:$O$93</definedName>
    <definedName name="OSRRefE21_16_9x" localSheetId="71">'310 &amp; 491'!$J$96:$O$96</definedName>
    <definedName name="OSRRefE21_16x_0" localSheetId="48">'300'!$J$106:$J$109</definedName>
    <definedName name="OSRRefE21_16x_0" localSheetId="49">'300 &amp; 317'!$J$112:$J$115</definedName>
    <definedName name="OSRRefE21_16x_0" localSheetId="50">'301'!$J$75:$J$76</definedName>
    <definedName name="OSRRefE21_16x_0" localSheetId="63">'310'!$J$84</definedName>
    <definedName name="OSRRefE21_16x_0" localSheetId="71">'310 &amp; 491'!$J$87:$J$96</definedName>
    <definedName name="OSRRefE21_16x_0" localSheetId="57">'315'!$J$100</definedName>
    <definedName name="OSRRefE21_16x_0" localSheetId="58">'326'!$J$81:$J$82</definedName>
    <definedName name="OSRRefE21_16x_0" localSheetId="56">'331'!$J$96:$J$97</definedName>
    <definedName name="OSRRefE21_16x_0" localSheetId="73">'405'!$J$86</definedName>
    <definedName name="OSRRefE21_16x_0" localSheetId="79">'415'!$J$85</definedName>
    <definedName name="OSRRefE21_16x_0" localSheetId="89">'450'!$J$86</definedName>
    <definedName name="OSRRefE21_16x_0" localSheetId="72">'491'!$J$85:$J$93</definedName>
    <definedName name="OSRRefE21_16x_0" localSheetId="85">'492'!$J$89</definedName>
    <definedName name="OSRRefE21_16x_0" localSheetId="39">'Div 2'!$J$78:$J$82</definedName>
    <definedName name="OSRRefE21_16x_0" localSheetId="47">'Div 3'!$J$110</definedName>
    <definedName name="OSRRefE21_16x_0" localSheetId="70">'Div 4'!$J$83:$J$87</definedName>
    <definedName name="OSRRefE21_16x_0" localSheetId="2">Summary!$J$119</definedName>
    <definedName name="OSRRefE21_16x_1" localSheetId="48">'300'!$K$106:$K$109</definedName>
    <definedName name="OSRRefE21_16x_1" localSheetId="49">'300 &amp; 317'!$K$112:$K$115</definedName>
    <definedName name="OSRRefE21_16x_1" localSheetId="50">'301'!$K$75:$K$76</definedName>
    <definedName name="OSRRefE21_16x_1" localSheetId="63">'310'!$K$84</definedName>
    <definedName name="OSRRefE21_16x_1" localSheetId="71">'310 &amp; 491'!$K$87:$K$96</definedName>
    <definedName name="OSRRefE21_16x_1" localSheetId="57">'315'!$K$100</definedName>
    <definedName name="OSRRefE21_16x_1" localSheetId="58">'326'!$K$81:$K$82</definedName>
    <definedName name="OSRRefE21_16x_1" localSheetId="56">'331'!$K$96:$K$97</definedName>
    <definedName name="OSRRefE21_16x_1" localSheetId="73">'405'!$K$86</definedName>
    <definedName name="OSRRefE21_16x_1" localSheetId="79">'415'!$K$85</definedName>
    <definedName name="OSRRefE21_16x_1" localSheetId="89">'450'!$K$86</definedName>
    <definedName name="OSRRefE21_16x_1" localSheetId="72">'491'!$K$85:$K$93</definedName>
    <definedName name="OSRRefE21_16x_1" localSheetId="85">'492'!$K$89</definedName>
    <definedName name="OSRRefE21_16x_1" localSheetId="39">'Div 2'!$K$78:$K$82</definedName>
    <definedName name="OSRRefE21_16x_1" localSheetId="47">'Div 3'!$K$110</definedName>
    <definedName name="OSRRefE21_16x_1" localSheetId="70">'Div 4'!$K$83:$K$87</definedName>
    <definedName name="OSRRefE21_16x_1" localSheetId="2">Summary!$K$119</definedName>
    <definedName name="OSRRefE21_16x_2" localSheetId="48">'300'!$L$106:$L$109</definedName>
    <definedName name="OSRRefE21_16x_2" localSheetId="49">'300 &amp; 317'!$L$112:$L$115</definedName>
    <definedName name="OSRRefE21_16x_2" localSheetId="50">'301'!$L$75:$L$76</definedName>
    <definedName name="OSRRefE21_16x_2" localSheetId="63">'310'!$L$84</definedName>
    <definedName name="OSRRefE21_16x_2" localSheetId="71">'310 &amp; 491'!$L$87:$L$96</definedName>
    <definedName name="OSRRefE21_16x_2" localSheetId="57">'315'!$L$100</definedName>
    <definedName name="OSRRefE21_16x_2" localSheetId="58">'326'!$L$81:$L$82</definedName>
    <definedName name="OSRRefE21_16x_2" localSheetId="56">'331'!$L$96:$L$97</definedName>
    <definedName name="OSRRefE21_16x_2" localSheetId="73">'405'!$L$86</definedName>
    <definedName name="OSRRefE21_16x_2" localSheetId="79">'415'!$L$85</definedName>
    <definedName name="OSRRefE21_16x_2" localSheetId="89">'450'!$L$86</definedName>
    <definedName name="OSRRefE21_16x_2" localSheetId="72">'491'!$L$85:$L$93</definedName>
    <definedName name="OSRRefE21_16x_2" localSheetId="85">'492'!$L$89</definedName>
    <definedName name="OSRRefE21_16x_2" localSheetId="39">'Div 2'!$L$78:$L$82</definedName>
    <definedName name="OSRRefE21_16x_2" localSheetId="47">'Div 3'!$L$110</definedName>
    <definedName name="OSRRefE21_16x_2" localSheetId="70">'Div 4'!$L$83:$L$87</definedName>
    <definedName name="OSRRefE21_16x_2" localSheetId="2">Summary!$L$119</definedName>
    <definedName name="OSRRefE21_16x_3" localSheetId="48">'300'!$M$106:$M$109</definedName>
    <definedName name="OSRRefE21_16x_3" localSheetId="49">'300 &amp; 317'!$M$112:$M$115</definedName>
    <definedName name="OSRRefE21_16x_3" localSheetId="50">'301'!$M$75:$M$76</definedName>
    <definedName name="OSRRefE21_16x_3" localSheetId="63">'310'!$M$84</definedName>
    <definedName name="OSRRefE21_16x_3" localSheetId="71">'310 &amp; 491'!$M$87:$M$96</definedName>
    <definedName name="OSRRefE21_16x_3" localSheetId="57">'315'!$M$100</definedName>
    <definedName name="OSRRefE21_16x_3" localSheetId="58">'326'!$M$81:$M$82</definedName>
    <definedName name="OSRRefE21_16x_3" localSheetId="56">'331'!$M$96:$M$97</definedName>
    <definedName name="OSRRefE21_16x_3" localSheetId="73">'405'!$M$86</definedName>
    <definedName name="OSRRefE21_16x_3" localSheetId="79">'415'!$M$85</definedName>
    <definedName name="OSRRefE21_16x_3" localSheetId="89">'450'!$M$86</definedName>
    <definedName name="OSRRefE21_16x_3" localSheetId="72">'491'!$M$85:$M$93</definedName>
    <definedName name="OSRRefE21_16x_3" localSheetId="85">'492'!$M$89</definedName>
    <definedName name="OSRRefE21_16x_3" localSheetId="39">'Div 2'!$M$78:$M$82</definedName>
    <definedName name="OSRRefE21_16x_3" localSheetId="47">'Div 3'!$M$110</definedName>
    <definedName name="OSRRefE21_16x_3" localSheetId="70">'Div 4'!$M$83:$M$87</definedName>
    <definedName name="OSRRefE21_16x_3" localSheetId="2">Summary!$M$119</definedName>
    <definedName name="OSRRefE21_16x_4" localSheetId="48">'300'!$N$106:$N$109</definedName>
    <definedName name="OSRRefE21_16x_4" localSheetId="49">'300 &amp; 317'!$N$112:$N$115</definedName>
    <definedName name="OSRRefE21_16x_4" localSheetId="50">'301'!$N$75:$N$76</definedName>
    <definedName name="OSRRefE21_16x_4" localSheetId="63">'310'!$N$84</definedName>
    <definedName name="OSRRefE21_16x_4" localSheetId="71">'310 &amp; 491'!$N$87:$N$96</definedName>
    <definedName name="OSRRefE21_16x_4" localSheetId="57">'315'!$N$100</definedName>
    <definedName name="OSRRefE21_16x_4" localSheetId="58">'326'!$N$81:$N$82</definedName>
    <definedName name="OSRRefE21_16x_4" localSheetId="56">'331'!$N$96:$N$97</definedName>
    <definedName name="OSRRefE21_16x_4" localSheetId="73">'405'!$N$86</definedName>
    <definedName name="OSRRefE21_16x_4" localSheetId="79">'415'!$N$85</definedName>
    <definedName name="OSRRefE21_16x_4" localSheetId="89">'450'!$N$86</definedName>
    <definedName name="OSRRefE21_16x_4" localSheetId="72">'491'!$N$85:$N$93</definedName>
    <definedName name="OSRRefE21_16x_4" localSheetId="85">'492'!$N$89</definedName>
    <definedName name="OSRRefE21_16x_4" localSheetId="39">'Div 2'!$N$78:$N$82</definedName>
    <definedName name="OSRRefE21_16x_4" localSheetId="47">'Div 3'!$N$110</definedName>
    <definedName name="OSRRefE21_16x_4" localSheetId="70">'Div 4'!$N$83:$N$87</definedName>
    <definedName name="OSRRefE21_16x_4" localSheetId="2">Summary!$N$119</definedName>
    <definedName name="OSRRefE21_16x_5" localSheetId="48">'300'!$O$106:$O$109</definedName>
    <definedName name="OSRRefE21_16x_5" localSheetId="49">'300 &amp; 317'!$O$112:$O$115</definedName>
    <definedName name="OSRRefE21_16x_5" localSheetId="50">'301'!$O$75:$O$76</definedName>
    <definedName name="OSRRefE21_16x_5" localSheetId="63">'310'!$O$84</definedName>
    <definedName name="OSRRefE21_16x_5" localSheetId="71">'310 &amp; 491'!$O$87:$O$96</definedName>
    <definedName name="OSRRefE21_16x_5" localSheetId="57">'315'!$O$100</definedName>
    <definedName name="OSRRefE21_16x_5" localSheetId="58">'326'!$O$81:$O$82</definedName>
    <definedName name="OSRRefE21_16x_5" localSheetId="56">'331'!$O$96:$O$97</definedName>
    <definedName name="OSRRefE21_16x_5" localSheetId="73">'405'!$O$86</definedName>
    <definedName name="OSRRefE21_16x_5" localSheetId="79">'415'!$O$85</definedName>
    <definedName name="OSRRefE21_16x_5" localSheetId="89">'450'!$O$86</definedName>
    <definedName name="OSRRefE21_16x_5" localSheetId="72">'491'!$O$85:$O$93</definedName>
    <definedName name="OSRRefE21_16x_5" localSheetId="85">'492'!$O$89</definedName>
    <definedName name="OSRRefE21_16x_5" localSheetId="39">'Div 2'!$O$78:$O$82</definedName>
    <definedName name="OSRRefE21_16x_5" localSheetId="47">'Div 3'!$O$110</definedName>
    <definedName name="OSRRefE21_16x_5" localSheetId="70">'Div 4'!$O$83:$O$87</definedName>
    <definedName name="OSRRefE21_16x_5" localSheetId="2">Summary!$O$119</definedName>
    <definedName name="OSRRefE21_17_0x" localSheetId="48">'300'!$J$111:$O$111</definedName>
    <definedName name="OSRRefE21_17_0x" localSheetId="49">'300 &amp; 317'!$J$117:$O$117</definedName>
    <definedName name="OSRRefE21_17_0x" localSheetId="50">'301'!$J$78:$O$78</definedName>
    <definedName name="OSRRefE21_17_0x" localSheetId="63">'310'!$J$86:$O$86</definedName>
    <definedName name="OSRRefE21_17_0x" localSheetId="71">'310 &amp; 491'!$J$98:$O$98</definedName>
    <definedName name="OSRRefE21_17_0x" localSheetId="57">'315'!$J$102:$O$102</definedName>
    <definedName name="OSRRefE21_17_0x" localSheetId="58">'326'!$J$84:$O$84</definedName>
    <definedName name="OSRRefE21_17_0x" localSheetId="56">'331'!$J$99:$O$99</definedName>
    <definedName name="OSRRefE21_17_0x" localSheetId="79">'415'!$J$87:$O$87</definedName>
    <definedName name="OSRRefE21_17_0x" localSheetId="72">'491'!$J$95:$O$95</definedName>
    <definedName name="OSRRefE21_17_0x" localSheetId="85">'492'!$J$91:$O$91</definedName>
    <definedName name="OSRRefE21_17_0x" localSheetId="39">'Div 2'!$J$84:$O$84</definedName>
    <definedName name="OSRRefE21_17_0x" localSheetId="47">'Div 3'!$J$112:$O$112</definedName>
    <definedName name="OSRRefE21_17_0x" localSheetId="70">'Div 4'!$J$89:$O$89</definedName>
    <definedName name="OSRRefE21_17_0x" localSheetId="2">Summary!$J$121:$O$121</definedName>
    <definedName name="OSRRefE21_17_1x" localSheetId="48">'300'!$J$112:$O$112</definedName>
    <definedName name="OSRRefE21_17_1x" localSheetId="49">'300 &amp; 317'!$J$118:$O$118</definedName>
    <definedName name="OSRRefE21_17_1x" localSheetId="71">'310 &amp; 491'!$J$99:$O$99</definedName>
    <definedName name="OSRRefE21_17_1x" localSheetId="56">'331'!$J$100:$O$100</definedName>
    <definedName name="OSRRefE21_17_1x" localSheetId="72">'491'!$J$96:$O$96</definedName>
    <definedName name="OSRRefE21_17_1x" localSheetId="85">'492'!$J$92:$O$92</definedName>
    <definedName name="OSRRefE21_17_1x" localSheetId="39">'Div 2'!$J$85:$O$85</definedName>
    <definedName name="OSRRefE21_17_1x" localSheetId="47">'Div 3'!$J$113:$O$113</definedName>
    <definedName name="OSRRefE21_17_2x" localSheetId="48">'300'!$J$113:$O$113</definedName>
    <definedName name="OSRRefE21_17_2x" localSheetId="49">'300 &amp; 317'!$J$119:$O$119</definedName>
    <definedName name="OSRRefE21_17_2x" localSheetId="47">'Div 3'!$J$114:$O$114</definedName>
    <definedName name="OSRRefE21_17_3x" localSheetId="48">'300'!$J$114:$O$114</definedName>
    <definedName name="OSRRefE21_17_3x" localSheetId="49">'300 &amp; 317'!$J$120:$O$120</definedName>
    <definedName name="OSRRefE21_17_3x" localSheetId="47">'Div 3'!$J$115:$O$115</definedName>
    <definedName name="OSRRefE21_17x_0" localSheetId="48">'300'!$J$111:$J$114</definedName>
    <definedName name="OSRRefE21_17x_0" localSheetId="49">'300 &amp; 317'!$J$117:$J$120</definedName>
    <definedName name="OSRRefE21_17x_0" localSheetId="50">'301'!$J$78</definedName>
    <definedName name="OSRRefE21_17x_0" localSheetId="63">'310'!$J$86</definedName>
    <definedName name="OSRRefE21_17x_0" localSheetId="71">'310 &amp; 491'!$J$98:$J$99</definedName>
    <definedName name="OSRRefE21_17x_0" localSheetId="57">'315'!$J$102</definedName>
    <definedName name="OSRRefE21_17x_0" localSheetId="58">'326'!$J$84</definedName>
    <definedName name="OSRRefE21_17x_0" localSheetId="56">'331'!$J$99:$J$100</definedName>
    <definedName name="OSRRefE21_17x_0" localSheetId="79">'415'!$J$87</definedName>
    <definedName name="OSRRefE21_17x_0" localSheetId="72">'491'!$J$95:$J$96</definedName>
    <definedName name="OSRRefE21_17x_0" localSheetId="85">'492'!$J$91:$J$92</definedName>
    <definedName name="OSRRefE21_17x_0" localSheetId="39">'Div 2'!$J$84:$J$85</definedName>
    <definedName name="OSRRefE21_17x_0" localSheetId="47">'Div 3'!$J$112:$J$115</definedName>
    <definedName name="OSRRefE21_17x_0" localSheetId="70">'Div 4'!$J$89</definedName>
    <definedName name="OSRRefE21_17x_0" localSheetId="2">Summary!$J$121</definedName>
    <definedName name="OSRRefE21_17x_1" localSheetId="48">'300'!$K$111:$K$114</definedName>
    <definedName name="OSRRefE21_17x_1" localSheetId="49">'300 &amp; 317'!$K$117:$K$120</definedName>
    <definedName name="OSRRefE21_17x_1" localSheetId="50">'301'!$K$78</definedName>
    <definedName name="OSRRefE21_17x_1" localSheetId="63">'310'!$K$86</definedName>
    <definedName name="OSRRefE21_17x_1" localSheetId="71">'310 &amp; 491'!$K$98:$K$99</definedName>
    <definedName name="OSRRefE21_17x_1" localSheetId="57">'315'!$K$102</definedName>
    <definedName name="OSRRefE21_17x_1" localSheetId="58">'326'!$K$84</definedName>
    <definedName name="OSRRefE21_17x_1" localSheetId="56">'331'!$K$99:$K$100</definedName>
    <definedName name="OSRRefE21_17x_1" localSheetId="79">'415'!$K$87</definedName>
    <definedName name="OSRRefE21_17x_1" localSheetId="72">'491'!$K$95:$K$96</definedName>
    <definedName name="OSRRefE21_17x_1" localSheetId="85">'492'!$K$91:$K$92</definedName>
    <definedName name="OSRRefE21_17x_1" localSheetId="39">'Div 2'!$K$84:$K$85</definedName>
    <definedName name="OSRRefE21_17x_1" localSheetId="47">'Div 3'!$K$112:$K$115</definedName>
    <definedName name="OSRRefE21_17x_1" localSheetId="70">'Div 4'!$K$89</definedName>
    <definedName name="OSRRefE21_17x_1" localSheetId="2">Summary!$K$121</definedName>
    <definedName name="OSRRefE21_17x_2" localSheetId="48">'300'!$L$111:$L$114</definedName>
    <definedName name="OSRRefE21_17x_2" localSheetId="49">'300 &amp; 317'!$L$117:$L$120</definedName>
    <definedName name="OSRRefE21_17x_2" localSheetId="50">'301'!$L$78</definedName>
    <definedName name="OSRRefE21_17x_2" localSheetId="63">'310'!$L$86</definedName>
    <definedName name="OSRRefE21_17x_2" localSheetId="71">'310 &amp; 491'!$L$98:$L$99</definedName>
    <definedName name="OSRRefE21_17x_2" localSheetId="57">'315'!$L$102</definedName>
    <definedName name="OSRRefE21_17x_2" localSheetId="58">'326'!$L$84</definedName>
    <definedName name="OSRRefE21_17x_2" localSheetId="56">'331'!$L$99:$L$100</definedName>
    <definedName name="OSRRefE21_17x_2" localSheetId="79">'415'!$L$87</definedName>
    <definedName name="OSRRefE21_17x_2" localSheetId="72">'491'!$L$95:$L$96</definedName>
    <definedName name="OSRRefE21_17x_2" localSheetId="85">'492'!$L$91:$L$92</definedName>
    <definedName name="OSRRefE21_17x_2" localSheetId="39">'Div 2'!$L$84:$L$85</definedName>
    <definedName name="OSRRefE21_17x_2" localSheetId="47">'Div 3'!$L$112:$L$115</definedName>
    <definedName name="OSRRefE21_17x_2" localSheetId="70">'Div 4'!$L$89</definedName>
    <definedName name="OSRRefE21_17x_2" localSheetId="2">Summary!$L$121</definedName>
    <definedName name="OSRRefE21_17x_3" localSheetId="48">'300'!$M$111:$M$114</definedName>
    <definedName name="OSRRefE21_17x_3" localSheetId="49">'300 &amp; 317'!$M$117:$M$120</definedName>
    <definedName name="OSRRefE21_17x_3" localSheetId="50">'301'!$M$78</definedName>
    <definedName name="OSRRefE21_17x_3" localSheetId="63">'310'!$M$86</definedName>
    <definedName name="OSRRefE21_17x_3" localSheetId="71">'310 &amp; 491'!$M$98:$M$99</definedName>
    <definedName name="OSRRefE21_17x_3" localSheetId="57">'315'!$M$102</definedName>
    <definedName name="OSRRefE21_17x_3" localSheetId="58">'326'!$M$84</definedName>
    <definedName name="OSRRefE21_17x_3" localSheetId="56">'331'!$M$99:$M$100</definedName>
    <definedName name="OSRRefE21_17x_3" localSheetId="79">'415'!$M$87</definedName>
    <definedName name="OSRRefE21_17x_3" localSheetId="72">'491'!$M$95:$M$96</definedName>
    <definedName name="OSRRefE21_17x_3" localSheetId="85">'492'!$M$91:$M$92</definedName>
    <definedName name="OSRRefE21_17x_3" localSheetId="39">'Div 2'!$M$84:$M$85</definedName>
    <definedName name="OSRRefE21_17x_3" localSheetId="47">'Div 3'!$M$112:$M$115</definedName>
    <definedName name="OSRRefE21_17x_3" localSheetId="70">'Div 4'!$M$89</definedName>
    <definedName name="OSRRefE21_17x_3" localSheetId="2">Summary!$M$121</definedName>
    <definedName name="OSRRefE21_17x_4" localSheetId="48">'300'!$N$111:$N$114</definedName>
    <definedName name="OSRRefE21_17x_4" localSheetId="49">'300 &amp; 317'!$N$117:$N$120</definedName>
    <definedName name="OSRRefE21_17x_4" localSheetId="50">'301'!$N$78</definedName>
    <definedName name="OSRRefE21_17x_4" localSheetId="63">'310'!$N$86</definedName>
    <definedName name="OSRRefE21_17x_4" localSheetId="71">'310 &amp; 491'!$N$98:$N$99</definedName>
    <definedName name="OSRRefE21_17x_4" localSheetId="57">'315'!$N$102</definedName>
    <definedName name="OSRRefE21_17x_4" localSheetId="58">'326'!$N$84</definedName>
    <definedName name="OSRRefE21_17x_4" localSheetId="56">'331'!$N$99:$N$100</definedName>
    <definedName name="OSRRefE21_17x_4" localSheetId="79">'415'!$N$87</definedName>
    <definedName name="OSRRefE21_17x_4" localSheetId="72">'491'!$N$95:$N$96</definedName>
    <definedName name="OSRRefE21_17x_4" localSheetId="85">'492'!$N$91:$N$92</definedName>
    <definedName name="OSRRefE21_17x_4" localSheetId="39">'Div 2'!$N$84:$N$85</definedName>
    <definedName name="OSRRefE21_17x_4" localSheetId="47">'Div 3'!$N$112:$N$115</definedName>
    <definedName name="OSRRefE21_17x_4" localSheetId="70">'Div 4'!$N$89</definedName>
    <definedName name="OSRRefE21_17x_4" localSheetId="2">Summary!$N$121</definedName>
    <definedName name="OSRRefE21_17x_5" localSheetId="48">'300'!$O$111:$O$114</definedName>
    <definedName name="OSRRefE21_17x_5" localSheetId="49">'300 &amp; 317'!$O$117:$O$120</definedName>
    <definedName name="OSRRefE21_17x_5" localSheetId="50">'301'!$O$78</definedName>
    <definedName name="OSRRefE21_17x_5" localSheetId="63">'310'!$O$86</definedName>
    <definedName name="OSRRefE21_17x_5" localSheetId="71">'310 &amp; 491'!$O$98:$O$99</definedName>
    <definedName name="OSRRefE21_17x_5" localSheetId="57">'315'!$O$102</definedName>
    <definedName name="OSRRefE21_17x_5" localSheetId="58">'326'!$O$84</definedName>
    <definedName name="OSRRefE21_17x_5" localSheetId="56">'331'!$O$99:$O$100</definedName>
    <definedName name="OSRRefE21_17x_5" localSheetId="79">'415'!$O$87</definedName>
    <definedName name="OSRRefE21_17x_5" localSheetId="72">'491'!$O$95:$O$96</definedName>
    <definedName name="OSRRefE21_17x_5" localSheetId="85">'492'!$O$91:$O$92</definedName>
    <definedName name="OSRRefE21_17x_5" localSheetId="39">'Div 2'!$O$84:$O$85</definedName>
    <definedName name="OSRRefE21_17x_5" localSheetId="47">'Div 3'!$O$112:$O$115</definedName>
    <definedName name="OSRRefE21_17x_5" localSheetId="70">'Div 4'!$O$89</definedName>
    <definedName name="OSRRefE21_17x_5" localSheetId="2">Summary!$O$121</definedName>
    <definedName name="OSRRefE21_18_0x" localSheetId="48">'300'!$J$116:$O$116</definedName>
    <definedName name="OSRRefE21_18_0x" localSheetId="49">'300 &amp; 317'!$J$122:$O$122</definedName>
    <definedName name="OSRRefE21_18_0x" localSheetId="50">'301'!$J$80:$O$80</definedName>
    <definedName name="OSRRefE21_18_0x" localSheetId="71">'310 &amp; 491'!$J$101:$O$101</definedName>
    <definedName name="OSRRefE21_18_0x" localSheetId="56">'331'!$J$102:$O$102</definedName>
    <definedName name="OSRRefE21_18_0x" localSheetId="72">'491'!$J$98:$O$98</definedName>
    <definedName name="OSRRefE21_18_0x" localSheetId="39">'Div 2'!$J$87:$O$87</definedName>
    <definedName name="OSRRefE21_18_0x" localSheetId="47">'Div 3'!$J$117:$O$117</definedName>
    <definedName name="OSRRefE21_18_0x" localSheetId="70">'Div 4'!$J$91:$O$91</definedName>
    <definedName name="OSRRefE21_18_0x" localSheetId="2">Summary!$J$123:$O$123</definedName>
    <definedName name="OSRRefE21_18_1x" localSheetId="48">'300'!$J$117:$O$117</definedName>
    <definedName name="OSRRefE21_18_1x" localSheetId="49">'300 &amp; 317'!$J$123:$O$123</definedName>
    <definedName name="OSRRefE21_18_1x" localSheetId="50">'301'!$J$81:$O$81</definedName>
    <definedName name="OSRRefE21_18_1x" localSheetId="56">'331'!$J$103:$O$103</definedName>
    <definedName name="OSRRefE21_18_1x" localSheetId="47">'Div 3'!$J$118:$O$118</definedName>
    <definedName name="OSRRefE21_18_1x" localSheetId="70">'Div 4'!$J$92:$O$92</definedName>
    <definedName name="OSRRefE21_18_1x" localSheetId="2">Summary!$J$124:$O$124</definedName>
    <definedName name="OSRRefE21_18_2x" localSheetId="48">'300'!$J$118:$O$118</definedName>
    <definedName name="OSRRefE21_18_2x" localSheetId="49">'300 &amp; 317'!$J$124:$O$124</definedName>
    <definedName name="OSRRefE21_18_2x" localSheetId="50">'301'!$J$82:$O$82</definedName>
    <definedName name="OSRRefE21_18_2x" localSheetId="56">'331'!$J$104:$O$104</definedName>
    <definedName name="OSRRefE21_18_2x" localSheetId="47">'Div 3'!$J$119:$O$119</definedName>
    <definedName name="OSRRefE21_18_2x" localSheetId="70">'Div 4'!$J$93:$O$93</definedName>
    <definedName name="OSRRefE21_18_2x" localSheetId="2">Summary!$J$125:$O$125</definedName>
    <definedName name="OSRRefE21_18_3x" localSheetId="50">'301'!$J$83:$O$83</definedName>
    <definedName name="OSRRefE21_18_3x" localSheetId="56">'331'!$J$105:$O$105</definedName>
    <definedName name="OSRRefE21_18_3x" localSheetId="47">'Div 3'!$J$120:$O$120</definedName>
    <definedName name="OSRRefE21_18_3x" localSheetId="70">'Div 4'!$J$94:$O$94</definedName>
    <definedName name="OSRRefE21_18_3x" localSheetId="2">Summary!$J$126:$O$126</definedName>
    <definedName name="OSRRefE21_18_4x" localSheetId="50">'301'!$J$84:$O$84</definedName>
    <definedName name="OSRRefE21_18_4x" localSheetId="56">'331'!$J$106:$O$106</definedName>
    <definedName name="OSRRefE21_18_4x" localSheetId="70">'Div 4'!$J$95:$O$95</definedName>
    <definedName name="OSRRefE21_18_5x" localSheetId="50">'301'!$J$85:$O$85</definedName>
    <definedName name="OSRRefE21_18_5x" localSheetId="70">'Div 4'!$J$96:$O$96</definedName>
    <definedName name="OSRRefE21_18_6x" localSheetId="70">'Div 4'!$J$97:$O$97</definedName>
    <definedName name="OSRRefE21_18_7x" localSheetId="70">'Div 4'!$J$98:$O$98</definedName>
    <definedName name="OSRRefE21_18_8x" localSheetId="70">'Div 4'!$J$99:$O$99</definedName>
    <definedName name="OSRRefE21_18_9x" localSheetId="70">'Div 4'!$J$100:$O$100</definedName>
    <definedName name="OSRRefE21_18x_0" localSheetId="48">'300'!$J$116:$J$118</definedName>
    <definedName name="OSRRefE21_18x_0" localSheetId="49">'300 &amp; 317'!$J$122:$J$124</definedName>
    <definedName name="OSRRefE21_18x_0" localSheetId="50">'301'!$J$80:$J$85</definedName>
    <definedName name="OSRRefE21_18x_0" localSheetId="71">'310 &amp; 491'!$J$101</definedName>
    <definedName name="OSRRefE21_18x_0" localSheetId="56">'331'!$J$102:$J$106</definedName>
    <definedName name="OSRRefE21_18x_0" localSheetId="72">'491'!$J$98</definedName>
    <definedName name="OSRRefE21_18x_0" localSheetId="39">'Div 2'!$J$87</definedName>
    <definedName name="OSRRefE21_18x_0" localSheetId="47">'Div 3'!$J$117:$J$120</definedName>
    <definedName name="OSRRefE21_18x_0" localSheetId="70">'Div 4'!$J$91:$J$100</definedName>
    <definedName name="OSRRefE21_18x_0" localSheetId="2">Summary!$J$123:$J$126</definedName>
    <definedName name="OSRRefE21_18x_1" localSheetId="48">'300'!$K$116:$K$118</definedName>
    <definedName name="OSRRefE21_18x_1" localSheetId="49">'300 &amp; 317'!$K$122:$K$124</definedName>
    <definedName name="OSRRefE21_18x_1" localSheetId="50">'301'!$K$80:$K$85</definedName>
    <definedName name="OSRRefE21_18x_1" localSheetId="71">'310 &amp; 491'!$K$101</definedName>
    <definedName name="OSRRefE21_18x_1" localSheetId="56">'331'!$K$102:$K$106</definedName>
    <definedName name="OSRRefE21_18x_1" localSheetId="72">'491'!$K$98</definedName>
    <definedName name="OSRRefE21_18x_1" localSheetId="39">'Div 2'!$K$87</definedName>
    <definedName name="OSRRefE21_18x_1" localSheetId="47">'Div 3'!$K$117:$K$120</definedName>
    <definedName name="OSRRefE21_18x_1" localSheetId="70">'Div 4'!$K$91:$K$100</definedName>
    <definedName name="OSRRefE21_18x_1" localSheetId="2">Summary!$K$123:$K$126</definedName>
    <definedName name="OSRRefE21_18x_2" localSheetId="48">'300'!$L$116:$L$118</definedName>
    <definedName name="OSRRefE21_18x_2" localSheetId="49">'300 &amp; 317'!$L$122:$L$124</definedName>
    <definedName name="OSRRefE21_18x_2" localSheetId="50">'301'!$L$80:$L$85</definedName>
    <definedName name="OSRRefE21_18x_2" localSheetId="71">'310 &amp; 491'!$L$101</definedName>
    <definedName name="OSRRefE21_18x_2" localSheetId="56">'331'!$L$102:$L$106</definedName>
    <definedName name="OSRRefE21_18x_2" localSheetId="72">'491'!$L$98</definedName>
    <definedName name="OSRRefE21_18x_2" localSheetId="39">'Div 2'!$L$87</definedName>
    <definedName name="OSRRefE21_18x_2" localSheetId="47">'Div 3'!$L$117:$L$120</definedName>
    <definedName name="OSRRefE21_18x_2" localSheetId="70">'Div 4'!$L$91:$L$100</definedName>
    <definedName name="OSRRefE21_18x_2" localSheetId="2">Summary!$L$123:$L$126</definedName>
    <definedName name="OSRRefE21_18x_3" localSheetId="48">'300'!$M$116:$M$118</definedName>
    <definedName name="OSRRefE21_18x_3" localSheetId="49">'300 &amp; 317'!$M$122:$M$124</definedName>
    <definedName name="OSRRefE21_18x_3" localSheetId="50">'301'!$M$80:$M$85</definedName>
    <definedName name="OSRRefE21_18x_3" localSheetId="71">'310 &amp; 491'!$M$101</definedName>
    <definedName name="OSRRefE21_18x_3" localSheetId="56">'331'!$M$102:$M$106</definedName>
    <definedName name="OSRRefE21_18x_3" localSheetId="72">'491'!$M$98</definedName>
    <definedName name="OSRRefE21_18x_3" localSheetId="39">'Div 2'!$M$87</definedName>
    <definedName name="OSRRefE21_18x_3" localSheetId="47">'Div 3'!$M$117:$M$120</definedName>
    <definedName name="OSRRefE21_18x_3" localSheetId="70">'Div 4'!$M$91:$M$100</definedName>
    <definedName name="OSRRefE21_18x_3" localSheetId="2">Summary!$M$123:$M$126</definedName>
    <definedName name="OSRRefE21_18x_4" localSheetId="48">'300'!$N$116:$N$118</definedName>
    <definedName name="OSRRefE21_18x_4" localSheetId="49">'300 &amp; 317'!$N$122:$N$124</definedName>
    <definedName name="OSRRefE21_18x_4" localSheetId="50">'301'!$N$80:$N$85</definedName>
    <definedName name="OSRRefE21_18x_4" localSheetId="71">'310 &amp; 491'!$N$101</definedName>
    <definedName name="OSRRefE21_18x_4" localSheetId="56">'331'!$N$102:$N$106</definedName>
    <definedName name="OSRRefE21_18x_4" localSheetId="72">'491'!$N$98</definedName>
    <definedName name="OSRRefE21_18x_4" localSheetId="39">'Div 2'!$N$87</definedName>
    <definedName name="OSRRefE21_18x_4" localSheetId="47">'Div 3'!$N$117:$N$120</definedName>
    <definedName name="OSRRefE21_18x_4" localSheetId="70">'Div 4'!$N$91:$N$100</definedName>
    <definedName name="OSRRefE21_18x_4" localSheetId="2">Summary!$N$123:$N$126</definedName>
    <definedName name="OSRRefE21_18x_5" localSheetId="48">'300'!$O$116:$O$118</definedName>
    <definedName name="OSRRefE21_18x_5" localSheetId="49">'300 &amp; 317'!$O$122:$O$124</definedName>
    <definedName name="OSRRefE21_18x_5" localSheetId="50">'301'!$O$80:$O$85</definedName>
    <definedName name="OSRRefE21_18x_5" localSheetId="71">'310 &amp; 491'!$O$101</definedName>
    <definedName name="OSRRefE21_18x_5" localSheetId="56">'331'!$O$102:$O$106</definedName>
    <definedName name="OSRRefE21_18x_5" localSheetId="72">'491'!$O$98</definedName>
    <definedName name="OSRRefE21_18x_5" localSheetId="39">'Div 2'!$O$87</definedName>
    <definedName name="OSRRefE21_18x_5" localSheetId="47">'Div 3'!$O$117:$O$120</definedName>
    <definedName name="OSRRefE21_18x_5" localSheetId="70">'Div 4'!$O$91:$O$100</definedName>
    <definedName name="OSRRefE21_18x_5" localSheetId="2">Summary!$O$123:$O$126</definedName>
    <definedName name="OSRRefE21_19_0x" localSheetId="48">'300'!$J$120:$O$120</definedName>
    <definedName name="OSRRefE21_19_0x" localSheetId="49">'300 &amp; 317'!$J$126:$O$126</definedName>
    <definedName name="OSRRefE21_19_0x" localSheetId="50">'301'!$J$87:$O$87</definedName>
    <definedName name="OSRRefE21_19_0x" localSheetId="71">'310 &amp; 491'!$J$103:$O$103</definedName>
    <definedName name="OSRRefE21_19_0x" localSheetId="56">'331'!$J$108:$O$108</definedName>
    <definedName name="OSRRefE21_19_0x" localSheetId="72">'491'!$J$100:$O$100</definedName>
    <definedName name="OSRRefE21_19_0x" localSheetId="39">'Div 2'!$J$89:$O$89</definedName>
    <definedName name="OSRRefE21_19_0x" localSheetId="47">'Div 3'!$J$122:$O$122</definedName>
    <definedName name="OSRRefE21_19_0x" localSheetId="70">'Div 4'!$J$102:$O$102</definedName>
    <definedName name="OSRRefE21_19_0x" localSheetId="2">Summary!$J$128:$O$128</definedName>
    <definedName name="OSRRefE21_19_1x" localSheetId="48">'300'!$J$121:$O$121</definedName>
    <definedName name="OSRRefE21_19_1x" localSheetId="49">'300 &amp; 317'!$J$127:$O$127</definedName>
    <definedName name="OSRRefE21_19_1x" localSheetId="39">'Div 2'!$J$90:$O$90</definedName>
    <definedName name="OSRRefE21_19_1x" localSheetId="47">'Div 3'!$J$123:$O$123</definedName>
    <definedName name="OSRRefE21_19_1x" localSheetId="70">'Div 4'!$J$103:$O$103</definedName>
    <definedName name="OSRRefE21_19_1x" localSheetId="2">Summary!$J$129:$O$129</definedName>
    <definedName name="OSRRefE21_19_2x" localSheetId="47">'Div 3'!$J$124:$O$124</definedName>
    <definedName name="OSRRefE21_19_2x" localSheetId="2">Summary!$J$130:$O$130</definedName>
    <definedName name="OSRRefE21_19_3x" localSheetId="47">'Div 3'!$J$125:$O$125</definedName>
    <definedName name="OSRRefE21_19_3x" localSheetId="2">Summary!$J$131:$O$131</definedName>
    <definedName name="OSRRefE21_19x_0" localSheetId="48">'300'!$J$120:$J$121</definedName>
    <definedName name="OSRRefE21_19x_0" localSheetId="49">'300 &amp; 317'!$J$126:$J$127</definedName>
    <definedName name="OSRRefE21_19x_0" localSheetId="50">'301'!$J$87</definedName>
    <definedName name="OSRRefE21_19x_0" localSheetId="71">'310 &amp; 491'!$J$103</definedName>
    <definedName name="OSRRefE21_19x_0" localSheetId="56">'331'!$J$108</definedName>
    <definedName name="OSRRefE21_19x_0" localSheetId="72">'491'!$J$100</definedName>
    <definedName name="OSRRefE21_19x_0" localSheetId="39">'Div 2'!$J$89:$J$90</definedName>
    <definedName name="OSRRefE21_19x_0" localSheetId="47">'Div 3'!$J$122:$J$125</definedName>
    <definedName name="OSRRefE21_19x_0" localSheetId="70">'Div 4'!$J$102:$J$103</definedName>
    <definedName name="OSRRefE21_19x_0" localSheetId="2">Summary!$J$128:$J$131</definedName>
    <definedName name="OSRRefE21_19x_1" localSheetId="48">'300'!$K$120:$K$121</definedName>
    <definedName name="OSRRefE21_19x_1" localSheetId="49">'300 &amp; 317'!$K$126:$K$127</definedName>
    <definedName name="OSRRefE21_19x_1" localSheetId="50">'301'!$K$87</definedName>
    <definedName name="OSRRefE21_19x_1" localSheetId="71">'310 &amp; 491'!$K$103</definedName>
    <definedName name="OSRRefE21_19x_1" localSheetId="56">'331'!$K$108</definedName>
    <definedName name="OSRRefE21_19x_1" localSheetId="72">'491'!$K$100</definedName>
    <definedName name="OSRRefE21_19x_1" localSheetId="39">'Div 2'!$K$89:$K$90</definedName>
    <definedName name="OSRRefE21_19x_1" localSheetId="47">'Div 3'!$K$122:$K$125</definedName>
    <definedName name="OSRRefE21_19x_1" localSheetId="70">'Div 4'!$K$102:$K$103</definedName>
    <definedName name="OSRRefE21_19x_1" localSheetId="2">Summary!$K$128:$K$131</definedName>
    <definedName name="OSRRefE21_19x_2" localSheetId="48">'300'!$L$120:$L$121</definedName>
    <definedName name="OSRRefE21_19x_2" localSheetId="49">'300 &amp; 317'!$L$126:$L$127</definedName>
    <definedName name="OSRRefE21_19x_2" localSheetId="50">'301'!$L$87</definedName>
    <definedName name="OSRRefE21_19x_2" localSheetId="71">'310 &amp; 491'!$L$103</definedName>
    <definedName name="OSRRefE21_19x_2" localSheetId="56">'331'!$L$108</definedName>
    <definedName name="OSRRefE21_19x_2" localSheetId="72">'491'!$L$100</definedName>
    <definedName name="OSRRefE21_19x_2" localSheetId="39">'Div 2'!$L$89:$L$90</definedName>
    <definedName name="OSRRefE21_19x_2" localSheetId="47">'Div 3'!$L$122:$L$125</definedName>
    <definedName name="OSRRefE21_19x_2" localSheetId="70">'Div 4'!$L$102:$L$103</definedName>
    <definedName name="OSRRefE21_19x_2" localSheetId="2">Summary!$L$128:$L$131</definedName>
    <definedName name="OSRRefE21_19x_3" localSheetId="48">'300'!$M$120:$M$121</definedName>
    <definedName name="OSRRefE21_19x_3" localSheetId="49">'300 &amp; 317'!$M$126:$M$127</definedName>
    <definedName name="OSRRefE21_19x_3" localSheetId="50">'301'!$M$87</definedName>
    <definedName name="OSRRefE21_19x_3" localSheetId="71">'310 &amp; 491'!$M$103</definedName>
    <definedName name="OSRRefE21_19x_3" localSheetId="56">'331'!$M$108</definedName>
    <definedName name="OSRRefE21_19x_3" localSheetId="72">'491'!$M$100</definedName>
    <definedName name="OSRRefE21_19x_3" localSheetId="39">'Div 2'!$M$89:$M$90</definedName>
    <definedName name="OSRRefE21_19x_3" localSheetId="47">'Div 3'!$M$122:$M$125</definedName>
    <definedName name="OSRRefE21_19x_3" localSheetId="70">'Div 4'!$M$102:$M$103</definedName>
    <definedName name="OSRRefE21_19x_3" localSheetId="2">Summary!$M$128:$M$131</definedName>
    <definedName name="OSRRefE21_19x_4" localSheetId="48">'300'!$N$120:$N$121</definedName>
    <definedName name="OSRRefE21_19x_4" localSheetId="49">'300 &amp; 317'!$N$126:$N$127</definedName>
    <definedName name="OSRRefE21_19x_4" localSheetId="50">'301'!$N$87</definedName>
    <definedName name="OSRRefE21_19x_4" localSheetId="71">'310 &amp; 491'!$N$103</definedName>
    <definedName name="OSRRefE21_19x_4" localSheetId="56">'331'!$N$108</definedName>
    <definedName name="OSRRefE21_19x_4" localSheetId="72">'491'!$N$100</definedName>
    <definedName name="OSRRefE21_19x_4" localSheetId="39">'Div 2'!$N$89:$N$90</definedName>
    <definedName name="OSRRefE21_19x_4" localSheetId="47">'Div 3'!$N$122:$N$125</definedName>
    <definedName name="OSRRefE21_19x_4" localSheetId="70">'Div 4'!$N$102:$N$103</definedName>
    <definedName name="OSRRefE21_19x_4" localSheetId="2">Summary!$N$128:$N$131</definedName>
    <definedName name="OSRRefE21_19x_5" localSheetId="48">'300'!$O$120:$O$121</definedName>
    <definedName name="OSRRefE21_19x_5" localSheetId="49">'300 &amp; 317'!$O$126:$O$127</definedName>
    <definedName name="OSRRefE21_19x_5" localSheetId="50">'301'!$O$87</definedName>
    <definedName name="OSRRefE21_19x_5" localSheetId="71">'310 &amp; 491'!$O$103</definedName>
    <definedName name="OSRRefE21_19x_5" localSheetId="56">'331'!$O$108</definedName>
    <definedName name="OSRRefE21_19x_5" localSheetId="72">'491'!$O$100</definedName>
    <definedName name="OSRRefE21_19x_5" localSheetId="39">'Div 2'!$O$89:$O$90</definedName>
    <definedName name="OSRRefE21_19x_5" localSheetId="47">'Div 3'!$O$122:$O$125</definedName>
    <definedName name="OSRRefE21_19x_5" localSheetId="70">'Div 4'!$O$102:$O$103</definedName>
    <definedName name="OSRRefE21_19x_5" localSheetId="2">Summary!$O$128:$O$131</definedName>
    <definedName name="OSRRefE21_1x_0" localSheetId="40">'200'!$J$21</definedName>
    <definedName name="OSRRefE21_1x_0" localSheetId="41">'201'!$J$29:$J$38</definedName>
    <definedName name="OSRRefE21_1x_0" localSheetId="42">'202'!$J$29:$J$38</definedName>
    <definedName name="OSRRefE21_1x_0" localSheetId="43">'203'!$J$30:$J$39</definedName>
    <definedName name="OSRRefE21_1x_0" localSheetId="44">'204'!$J$29:$J$38</definedName>
    <definedName name="OSRRefE21_1x_0" localSheetId="45">'205'!$J$29:$J$38</definedName>
    <definedName name="OSRRefE21_1x_0" localSheetId="46">'206'!$J$29:$J$38</definedName>
    <definedName name="OSRRefE21_1x_0" localSheetId="48">'300'!$J$64:$J$73</definedName>
    <definedName name="OSRRefE21_1x_0" localSheetId="49">'300 &amp; 317'!$J$70:$J$79</definedName>
    <definedName name="OSRRefE21_1x_0" localSheetId="50">'301'!$J$31:$J$40</definedName>
    <definedName name="OSRRefE21_1x_0" localSheetId="52">'307'!$J$42:$J$51</definedName>
    <definedName name="OSRRefE21_1x_0" localSheetId="53">'308'!$J$45:$J$54</definedName>
    <definedName name="OSRRefE21_1x_0" localSheetId="64">'309'!$J$21</definedName>
    <definedName name="OSRRefE21_1x_0" localSheetId="63">'310'!$J$36:$J$45</definedName>
    <definedName name="OSRRefE21_1x_0" localSheetId="71">'310 &amp; 491'!$J$38:$J$47</definedName>
    <definedName name="OSRRefE21_1x_0" localSheetId="54">'311'!$J$45:$J$54</definedName>
    <definedName name="OSRRefE21_1x_0" localSheetId="65">'313'!$J$21</definedName>
    <definedName name="OSRRefE21_1x_0" localSheetId="57">'315'!$J$53:$J$62</definedName>
    <definedName name="OSRRefE21_1x_0" localSheetId="60">'316'!$J$36:$J$45</definedName>
    <definedName name="OSRRefE21_1x_0" localSheetId="62">'317'!$J$45:$J$54</definedName>
    <definedName name="OSRRefE21_1x_0" localSheetId="66">'321'!$J$33:$J$42</definedName>
    <definedName name="OSRRefE21_1x_0" localSheetId="68">'325'!$J$34:$J$43</definedName>
    <definedName name="OSRRefE21_1x_0" localSheetId="58">'326'!$J$37:$J$46</definedName>
    <definedName name="OSRRefE21_1x_0" localSheetId="51">'330'!$J$42:$J$51</definedName>
    <definedName name="OSRRefE21_1x_0" localSheetId="56">'331'!$J$53:$J$62</definedName>
    <definedName name="OSRRefE21_1x_0" localSheetId="59">'332'!$J$36:$J$45</definedName>
    <definedName name="OSRRefE21_1x_0" localSheetId="73">'405'!$J$36:$J$45</definedName>
    <definedName name="OSRRefE21_1x_0" localSheetId="75">'411'!$J$29:$J$38</definedName>
    <definedName name="OSRRefE21_1x_0" localSheetId="76">'412'!$J$21</definedName>
    <definedName name="OSRRefE21_1x_0" localSheetId="77">'413'!$J$21</definedName>
    <definedName name="OSRRefE21_1x_0" localSheetId="78">'414'!$J$21</definedName>
    <definedName name="OSRRefE21_1x_0" localSheetId="79">'415'!$J$36:$J$45</definedName>
    <definedName name="OSRRefE21_1x_0" localSheetId="80">'418'!$J$33:$J$42</definedName>
    <definedName name="OSRRefE21_1x_0" localSheetId="81">'423'!$J$28:$J$37</definedName>
    <definedName name="OSRRefE21_1x_0" localSheetId="82">'424'!$J$21</definedName>
    <definedName name="OSRRefE21_1x_0" localSheetId="84">'425'!$J$23</definedName>
    <definedName name="OSRRefE21_1x_0" localSheetId="86">'430'!$J$29:$J$38</definedName>
    <definedName name="OSRRefE21_1x_0" localSheetId="87">'433'!$J$37:$J$46</definedName>
    <definedName name="OSRRefE21_1x_0" localSheetId="88">'444'!$J$37:$J$46</definedName>
    <definedName name="OSRRefE21_1x_0" localSheetId="89">'450'!$J$37:$J$46</definedName>
    <definedName name="OSRRefE21_1x_0" localSheetId="72">'491'!$J$37:$J$46</definedName>
    <definedName name="OSRRefE21_1x_0" localSheetId="85">'492'!$J$37:$J$46</definedName>
    <definedName name="OSRRefE21_1x_0" localSheetId="91">'501'!$J$31:$J$40</definedName>
    <definedName name="OSRRefE21_1x_0" localSheetId="39">'Div 2'!$J$31:$J$40</definedName>
    <definedName name="OSRRefE21_1x_0" localSheetId="47">'Div 3'!$J$68:$J$77</definedName>
    <definedName name="OSRRefE21_1x_0" localSheetId="70">'Div 4'!$J$39:$J$48</definedName>
    <definedName name="OSRRefE21_1x_0" localSheetId="90">'Div 5'!$J$31:$J$40</definedName>
    <definedName name="OSRRefE21_1x_0" localSheetId="61">'Div 6'!$J$45:$J$54</definedName>
    <definedName name="OSRRefE21_1x_0" localSheetId="2">Summary!$J$76:$J$85</definedName>
    <definedName name="OSRRefE21_1x_1" localSheetId="40">'200'!$K$21</definedName>
    <definedName name="OSRRefE21_1x_1" localSheetId="41">'201'!$K$29:$K$38</definedName>
    <definedName name="OSRRefE21_1x_1" localSheetId="42">'202'!$K$29:$K$38</definedName>
    <definedName name="OSRRefE21_1x_1" localSheetId="43">'203'!$K$30:$K$39</definedName>
    <definedName name="OSRRefE21_1x_1" localSheetId="44">'204'!$K$29:$K$38</definedName>
    <definedName name="OSRRefE21_1x_1" localSheetId="45">'205'!$K$29:$K$38</definedName>
    <definedName name="OSRRefE21_1x_1" localSheetId="46">'206'!$K$29:$K$38</definedName>
    <definedName name="OSRRefE21_1x_1" localSheetId="48">'300'!$K$64:$K$73</definedName>
    <definedName name="OSRRefE21_1x_1" localSheetId="49">'300 &amp; 317'!$K$70:$K$79</definedName>
    <definedName name="OSRRefE21_1x_1" localSheetId="50">'301'!$K$31:$K$40</definedName>
    <definedName name="OSRRefE21_1x_1" localSheetId="52">'307'!$K$42:$K$51</definedName>
    <definedName name="OSRRefE21_1x_1" localSheetId="53">'308'!$K$45:$K$54</definedName>
    <definedName name="OSRRefE21_1x_1" localSheetId="64">'309'!$K$21</definedName>
    <definedName name="OSRRefE21_1x_1" localSheetId="63">'310'!$K$36:$K$45</definedName>
    <definedName name="OSRRefE21_1x_1" localSheetId="71">'310 &amp; 491'!$K$38:$K$47</definedName>
    <definedName name="OSRRefE21_1x_1" localSheetId="54">'311'!$K$45:$K$54</definedName>
    <definedName name="OSRRefE21_1x_1" localSheetId="65">'313'!$K$21</definedName>
    <definedName name="OSRRefE21_1x_1" localSheetId="57">'315'!$K$53:$K$62</definedName>
    <definedName name="OSRRefE21_1x_1" localSheetId="60">'316'!$K$36:$K$45</definedName>
    <definedName name="OSRRefE21_1x_1" localSheetId="62">'317'!$K$45:$K$54</definedName>
    <definedName name="OSRRefE21_1x_1" localSheetId="66">'321'!$K$33:$K$42</definedName>
    <definedName name="OSRRefE21_1x_1" localSheetId="68">'325'!$K$34:$K$43</definedName>
    <definedName name="OSRRefE21_1x_1" localSheetId="58">'326'!$K$37:$K$46</definedName>
    <definedName name="OSRRefE21_1x_1" localSheetId="51">'330'!$K$42:$K$51</definedName>
    <definedName name="OSRRefE21_1x_1" localSheetId="56">'331'!$K$53:$K$62</definedName>
    <definedName name="OSRRefE21_1x_1" localSheetId="59">'332'!$K$36:$K$45</definedName>
    <definedName name="OSRRefE21_1x_1" localSheetId="73">'405'!$K$36:$K$45</definedName>
    <definedName name="OSRRefE21_1x_1" localSheetId="75">'411'!$K$29:$K$38</definedName>
    <definedName name="OSRRefE21_1x_1" localSheetId="76">'412'!$K$21</definedName>
    <definedName name="OSRRefE21_1x_1" localSheetId="77">'413'!$K$21</definedName>
    <definedName name="OSRRefE21_1x_1" localSheetId="78">'414'!$K$21</definedName>
    <definedName name="OSRRefE21_1x_1" localSheetId="79">'415'!$K$36:$K$45</definedName>
    <definedName name="OSRRefE21_1x_1" localSheetId="80">'418'!$K$33:$K$42</definedName>
    <definedName name="OSRRefE21_1x_1" localSheetId="81">'423'!$K$28:$K$37</definedName>
    <definedName name="OSRRefE21_1x_1" localSheetId="82">'424'!$K$21</definedName>
    <definedName name="OSRRefE21_1x_1" localSheetId="84">'425'!$K$23</definedName>
    <definedName name="OSRRefE21_1x_1" localSheetId="86">'430'!$K$29:$K$38</definedName>
    <definedName name="OSRRefE21_1x_1" localSheetId="87">'433'!$K$37:$K$46</definedName>
    <definedName name="OSRRefE21_1x_1" localSheetId="88">'444'!$K$37:$K$46</definedName>
    <definedName name="OSRRefE21_1x_1" localSheetId="89">'450'!$K$37:$K$46</definedName>
    <definedName name="OSRRefE21_1x_1" localSheetId="72">'491'!$K$37:$K$46</definedName>
    <definedName name="OSRRefE21_1x_1" localSheetId="85">'492'!$K$37:$K$46</definedName>
    <definedName name="OSRRefE21_1x_1" localSheetId="91">'501'!$K$31:$K$40</definedName>
    <definedName name="OSRRefE21_1x_1" localSheetId="39">'Div 2'!$K$31:$K$40</definedName>
    <definedName name="OSRRefE21_1x_1" localSheetId="47">'Div 3'!$K$68:$K$77</definedName>
    <definedName name="OSRRefE21_1x_1" localSheetId="70">'Div 4'!$K$39:$K$48</definedName>
    <definedName name="OSRRefE21_1x_1" localSheetId="90">'Div 5'!$K$31:$K$40</definedName>
    <definedName name="OSRRefE21_1x_1" localSheetId="61">'Div 6'!$K$45:$K$54</definedName>
    <definedName name="OSRRefE21_1x_1" localSheetId="2">Summary!$K$76:$K$85</definedName>
    <definedName name="OSRRefE21_1x_2" localSheetId="40">'200'!$L$21</definedName>
    <definedName name="OSRRefE21_1x_2" localSheetId="41">'201'!$L$29:$L$38</definedName>
    <definedName name="OSRRefE21_1x_2" localSheetId="42">'202'!$L$29:$L$38</definedName>
    <definedName name="OSRRefE21_1x_2" localSheetId="43">'203'!$L$30:$L$39</definedName>
    <definedName name="OSRRefE21_1x_2" localSheetId="44">'204'!$L$29:$L$38</definedName>
    <definedName name="OSRRefE21_1x_2" localSheetId="45">'205'!$L$29:$L$38</definedName>
    <definedName name="OSRRefE21_1x_2" localSheetId="46">'206'!$L$29:$L$38</definedName>
    <definedName name="OSRRefE21_1x_2" localSheetId="48">'300'!$L$64:$L$73</definedName>
    <definedName name="OSRRefE21_1x_2" localSheetId="49">'300 &amp; 317'!$L$70:$L$79</definedName>
    <definedName name="OSRRefE21_1x_2" localSheetId="50">'301'!$L$31:$L$40</definedName>
    <definedName name="OSRRefE21_1x_2" localSheetId="52">'307'!$L$42:$L$51</definedName>
    <definedName name="OSRRefE21_1x_2" localSheetId="53">'308'!$L$45:$L$54</definedName>
    <definedName name="OSRRefE21_1x_2" localSheetId="64">'309'!$L$21</definedName>
    <definedName name="OSRRefE21_1x_2" localSheetId="63">'310'!$L$36:$L$45</definedName>
    <definedName name="OSRRefE21_1x_2" localSheetId="71">'310 &amp; 491'!$L$38:$L$47</definedName>
    <definedName name="OSRRefE21_1x_2" localSheetId="54">'311'!$L$45:$L$54</definedName>
    <definedName name="OSRRefE21_1x_2" localSheetId="65">'313'!$L$21</definedName>
    <definedName name="OSRRefE21_1x_2" localSheetId="57">'315'!$L$53:$L$62</definedName>
    <definedName name="OSRRefE21_1x_2" localSheetId="60">'316'!$L$36:$L$45</definedName>
    <definedName name="OSRRefE21_1x_2" localSheetId="62">'317'!$L$45:$L$54</definedName>
    <definedName name="OSRRefE21_1x_2" localSheetId="66">'321'!$L$33:$L$42</definedName>
    <definedName name="OSRRefE21_1x_2" localSheetId="68">'325'!$L$34:$L$43</definedName>
    <definedName name="OSRRefE21_1x_2" localSheetId="58">'326'!$L$37:$L$46</definedName>
    <definedName name="OSRRefE21_1x_2" localSheetId="51">'330'!$L$42:$L$51</definedName>
    <definedName name="OSRRefE21_1x_2" localSheetId="56">'331'!$L$53:$L$62</definedName>
    <definedName name="OSRRefE21_1x_2" localSheetId="59">'332'!$L$36:$L$45</definedName>
    <definedName name="OSRRefE21_1x_2" localSheetId="73">'405'!$L$36:$L$45</definedName>
    <definedName name="OSRRefE21_1x_2" localSheetId="75">'411'!$L$29:$L$38</definedName>
    <definedName name="OSRRefE21_1x_2" localSheetId="76">'412'!$L$21</definedName>
    <definedName name="OSRRefE21_1x_2" localSheetId="77">'413'!$L$21</definedName>
    <definedName name="OSRRefE21_1x_2" localSheetId="78">'414'!$L$21</definedName>
    <definedName name="OSRRefE21_1x_2" localSheetId="79">'415'!$L$36:$L$45</definedName>
    <definedName name="OSRRefE21_1x_2" localSheetId="80">'418'!$L$33:$L$42</definedName>
    <definedName name="OSRRefE21_1x_2" localSheetId="81">'423'!$L$28:$L$37</definedName>
    <definedName name="OSRRefE21_1x_2" localSheetId="82">'424'!$L$21</definedName>
    <definedName name="OSRRefE21_1x_2" localSheetId="84">'425'!$L$23</definedName>
    <definedName name="OSRRefE21_1x_2" localSheetId="86">'430'!$L$29:$L$38</definedName>
    <definedName name="OSRRefE21_1x_2" localSheetId="87">'433'!$L$37:$L$46</definedName>
    <definedName name="OSRRefE21_1x_2" localSheetId="88">'444'!$L$37:$L$46</definedName>
    <definedName name="OSRRefE21_1x_2" localSheetId="89">'450'!$L$37:$L$46</definedName>
    <definedName name="OSRRefE21_1x_2" localSheetId="72">'491'!$L$37:$L$46</definedName>
    <definedName name="OSRRefE21_1x_2" localSheetId="85">'492'!$L$37:$L$46</definedName>
    <definedName name="OSRRefE21_1x_2" localSheetId="91">'501'!$L$31:$L$40</definedName>
    <definedName name="OSRRefE21_1x_2" localSheetId="39">'Div 2'!$L$31:$L$40</definedName>
    <definedName name="OSRRefE21_1x_2" localSheetId="47">'Div 3'!$L$68:$L$77</definedName>
    <definedName name="OSRRefE21_1x_2" localSheetId="70">'Div 4'!$L$39:$L$48</definedName>
    <definedName name="OSRRefE21_1x_2" localSheetId="90">'Div 5'!$L$31:$L$40</definedName>
    <definedName name="OSRRefE21_1x_2" localSheetId="61">'Div 6'!$L$45:$L$54</definedName>
    <definedName name="OSRRefE21_1x_2" localSheetId="2">Summary!$L$76:$L$85</definedName>
    <definedName name="OSRRefE21_1x_3" localSheetId="40">'200'!$M$21</definedName>
    <definedName name="OSRRefE21_1x_3" localSheetId="41">'201'!$M$29:$M$38</definedName>
    <definedName name="OSRRefE21_1x_3" localSheetId="42">'202'!$M$29:$M$38</definedName>
    <definedName name="OSRRefE21_1x_3" localSheetId="43">'203'!$M$30:$M$39</definedName>
    <definedName name="OSRRefE21_1x_3" localSheetId="44">'204'!$M$29:$M$38</definedName>
    <definedName name="OSRRefE21_1x_3" localSheetId="45">'205'!$M$29:$M$38</definedName>
    <definedName name="OSRRefE21_1x_3" localSheetId="46">'206'!$M$29:$M$38</definedName>
    <definedName name="OSRRefE21_1x_3" localSheetId="48">'300'!$M$64:$M$73</definedName>
    <definedName name="OSRRefE21_1x_3" localSheetId="49">'300 &amp; 317'!$M$70:$M$79</definedName>
    <definedName name="OSRRefE21_1x_3" localSheetId="50">'301'!$M$31:$M$40</definedName>
    <definedName name="OSRRefE21_1x_3" localSheetId="52">'307'!$M$42:$M$51</definedName>
    <definedName name="OSRRefE21_1x_3" localSheetId="53">'308'!$M$45:$M$54</definedName>
    <definedName name="OSRRefE21_1x_3" localSheetId="64">'309'!$M$21</definedName>
    <definedName name="OSRRefE21_1x_3" localSheetId="63">'310'!$M$36:$M$45</definedName>
    <definedName name="OSRRefE21_1x_3" localSheetId="71">'310 &amp; 491'!$M$38:$M$47</definedName>
    <definedName name="OSRRefE21_1x_3" localSheetId="54">'311'!$M$45:$M$54</definedName>
    <definedName name="OSRRefE21_1x_3" localSheetId="65">'313'!$M$21</definedName>
    <definedName name="OSRRefE21_1x_3" localSheetId="57">'315'!$M$53:$M$62</definedName>
    <definedName name="OSRRefE21_1x_3" localSheetId="60">'316'!$M$36:$M$45</definedName>
    <definedName name="OSRRefE21_1x_3" localSheetId="62">'317'!$M$45:$M$54</definedName>
    <definedName name="OSRRefE21_1x_3" localSheetId="66">'321'!$M$33:$M$42</definedName>
    <definedName name="OSRRefE21_1x_3" localSheetId="68">'325'!$M$34:$M$43</definedName>
    <definedName name="OSRRefE21_1x_3" localSheetId="58">'326'!$M$37:$M$46</definedName>
    <definedName name="OSRRefE21_1x_3" localSheetId="51">'330'!$M$42:$M$51</definedName>
    <definedName name="OSRRefE21_1x_3" localSheetId="56">'331'!$M$53:$M$62</definedName>
    <definedName name="OSRRefE21_1x_3" localSheetId="59">'332'!$M$36:$M$45</definedName>
    <definedName name="OSRRefE21_1x_3" localSheetId="73">'405'!$M$36:$M$45</definedName>
    <definedName name="OSRRefE21_1x_3" localSheetId="75">'411'!$M$29:$M$38</definedName>
    <definedName name="OSRRefE21_1x_3" localSheetId="76">'412'!$M$21</definedName>
    <definedName name="OSRRefE21_1x_3" localSheetId="77">'413'!$M$21</definedName>
    <definedName name="OSRRefE21_1x_3" localSheetId="78">'414'!$M$21</definedName>
    <definedName name="OSRRefE21_1x_3" localSheetId="79">'415'!$M$36:$M$45</definedName>
    <definedName name="OSRRefE21_1x_3" localSheetId="80">'418'!$M$33:$M$42</definedName>
    <definedName name="OSRRefE21_1x_3" localSheetId="81">'423'!$M$28:$M$37</definedName>
    <definedName name="OSRRefE21_1x_3" localSheetId="82">'424'!$M$21</definedName>
    <definedName name="OSRRefE21_1x_3" localSheetId="84">'425'!$M$23</definedName>
    <definedName name="OSRRefE21_1x_3" localSheetId="86">'430'!$M$29:$M$38</definedName>
    <definedName name="OSRRefE21_1x_3" localSheetId="87">'433'!$M$37:$M$46</definedName>
    <definedName name="OSRRefE21_1x_3" localSheetId="88">'444'!$M$37:$M$46</definedName>
    <definedName name="OSRRefE21_1x_3" localSheetId="89">'450'!$M$37:$M$46</definedName>
    <definedName name="OSRRefE21_1x_3" localSheetId="72">'491'!$M$37:$M$46</definedName>
    <definedName name="OSRRefE21_1x_3" localSheetId="85">'492'!$M$37:$M$46</definedName>
    <definedName name="OSRRefE21_1x_3" localSheetId="91">'501'!$M$31:$M$40</definedName>
    <definedName name="OSRRefE21_1x_3" localSheetId="39">'Div 2'!$M$31:$M$40</definedName>
    <definedName name="OSRRefE21_1x_3" localSheetId="47">'Div 3'!$M$68:$M$77</definedName>
    <definedName name="OSRRefE21_1x_3" localSheetId="70">'Div 4'!$M$39:$M$48</definedName>
    <definedName name="OSRRefE21_1x_3" localSheetId="90">'Div 5'!$M$31:$M$40</definedName>
    <definedName name="OSRRefE21_1x_3" localSheetId="61">'Div 6'!$M$45:$M$54</definedName>
    <definedName name="OSRRefE21_1x_3" localSheetId="2">Summary!$M$76:$M$85</definedName>
    <definedName name="OSRRefE21_1x_4" localSheetId="40">'200'!$N$21</definedName>
    <definedName name="OSRRefE21_1x_4" localSheetId="41">'201'!$N$29:$N$38</definedName>
    <definedName name="OSRRefE21_1x_4" localSheetId="42">'202'!$N$29:$N$38</definedName>
    <definedName name="OSRRefE21_1x_4" localSheetId="43">'203'!$N$30:$N$39</definedName>
    <definedName name="OSRRefE21_1x_4" localSheetId="44">'204'!$N$29:$N$38</definedName>
    <definedName name="OSRRefE21_1x_4" localSheetId="45">'205'!$N$29:$N$38</definedName>
    <definedName name="OSRRefE21_1x_4" localSheetId="46">'206'!$N$29:$N$38</definedName>
    <definedName name="OSRRefE21_1x_4" localSheetId="48">'300'!$N$64:$N$73</definedName>
    <definedName name="OSRRefE21_1x_4" localSheetId="49">'300 &amp; 317'!$N$70:$N$79</definedName>
    <definedName name="OSRRefE21_1x_4" localSheetId="50">'301'!$N$31:$N$40</definedName>
    <definedName name="OSRRefE21_1x_4" localSheetId="52">'307'!$N$42:$N$51</definedName>
    <definedName name="OSRRefE21_1x_4" localSheetId="53">'308'!$N$45:$N$54</definedName>
    <definedName name="OSRRefE21_1x_4" localSheetId="64">'309'!$N$21</definedName>
    <definedName name="OSRRefE21_1x_4" localSheetId="63">'310'!$N$36:$N$45</definedName>
    <definedName name="OSRRefE21_1x_4" localSheetId="71">'310 &amp; 491'!$N$38:$N$47</definedName>
    <definedName name="OSRRefE21_1x_4" localSheetId="54">'311'!$N$45:$N$54</definedName>
    <definedName name="OSRRefE21_1x_4" localSheetId="65">'313'!$N$21</definedName>
    <definedName name="OSRRefE21_1x_4" localSheetId="57">'315'!$N$53:$N$62</definedName>
    <definedName name="OSRRefE21_1x_4" localSheetId="60">'316'!$N$36:$N$45</definedName>
    <definedName name="OSRRefE21_1x_4" localSheetId="62">'317'!$N$45:$N$54</definedName>
    <definedName name="OSRRefE21_1x_4" localSheetId="66">'321'!$N$33:$N$42</definedName>
    <definedName name="OSRRefE21_1x_4" localSheetId="68">'325'!$N$34:$N$43</definedName>
    <definedName name="OSRRefE21_1x_4" localSheetId="58">'326'!$N$37:$N$46</definedName>
    <definedName name="OSRRefE21_1x_4" localSheetId="51">'330'!$N$42:$N$51</definedName>
    <definedName name="OSRRefE21_1x_4" localSheetId="56">'331'!$N$53:$N$62</definedName>
    <definedName name="OSRRefE21_1x_4" localSheetId="59">'332'!$N$36:$N$45</definedName>
    <definedName name="OSRRefE21_1x_4" localSheetId="73">'405'!$N$36:$N$45</definedName>
    <definedName name="OSRRefE21_1x_4" localSheetId="75">'411'!$N$29:$N$38</definedName>
    <definedName name="OSRRefE21_1x_4" localSheetId="76">'412'!$N$21</definedName>
    <definedName name="OSRRefE21_1x_4" localSheetId="77">'413'!$N$21</definedName>
    <definedName name="OSRRefE21_1x_4" localSheetId="78">'414'!$N$21</definedName>
    <definedName name="OSRRefE21_1x_4" localSheetId="79">'415'!$N$36:$N$45</definedName>
    <definedName name="OSRRefE21_1x_4" localSheetId="80">'418'!$N$33:$N$42</definedName>
    <definedName name="OSRRefE21_1x_4" localSheetId="81">'423'!$N$28:$N$37</definedName>
    <definedName name="OSRRefE21_1x_4" localSheetId="82">'424'!$N$21</definedName>
    <definedName name="OSRRefE21_1x_4" localSheetId="84">'425'!$N$23</definedName>
    <definedName name="OSRRefE21_1x_4" localSheetId="86">'430'!$N$29:$N$38</definedName>
    <definedName name="OSRRefE21_1x_4" localSheetId="87">'433'!$N$37:$N$46</definedName>
    <definedName name="OSRRefE21_1x_4" localSheetId="88">'444'!$N$37:$N$46</definedName>
    <definedName name="OSRRefE21_1x_4" localSheetId="89">'450'!$N$37:$N$46</definedName>
    <definedName name="OSRRefE21_1x_4" localSheetId="72">'491'!$N$37:$N$46</definedName>
    <definedName name="OSRRefE21_1x_4" localSheetId="85">'492'!$N$37:$N$46</definedName>
    <definedName name="OSRRefE21_1x_4" localSheetId="91">'501'!$N$31:$N$40</definedName>
    <definedName name="OSRRefE21_1x_4" localSheetId="39">'Div 2'!$N$31:$N$40</definedName>
    <definedName name="OSRRefE21_1x_4" localSheetId="47">'Div 3'!$N$68:$N$77</definedName>
    <definedName name="OSRRefE21_1x_4" localSheetId="70">'Div 4'!$N$39:$N$48</definedName>
    <definedName name="OSRRefE21_1x_4" localSheetId="90">'Div 5'!$N$31:$N$40</definedName>
    <definedName name="OSRRefE21_1x_4" localSheetId="61">'Div 6'!$N$45:$N$54</definedName>
    <definedName name="OSRRefE21_1x_4" localSheetId="2">Summary!$N$76:$N$85</definedName>
    <definedName name="OSRRefE21_1x_5" localSheetId="40">'200'!$O$21</definedName>
    <definedName name="OSRRefE21_1x_5" localSheetId="41">'201'!$O$29:$O$38</definedName>
    <definedName name="OSRRefE21_1x_5" localSheetId="42">'202'!$O$29:$O$38</definedName>
    <definedName name="OSRRefE21_1x_5" localSheetId="43">'203'!$O$30:$O$39</definedName>
    <definedName name="OSRRefE21_1x_5" localSheetId="44">'204'!$O$29:$O$38</definedName>
    <definedName name="OSRRefE21_1x_5" localSheetId="45">'205'!$O$29:$O$38</definedName>
    <definedName name="OSRRefE21_1x_5" localSheetId="46">'206'!$O$29:$O$38</definedName>
    <definedName name="OSRRefE21_1x_5" localSheetId="48">'300'!$O$64:$O$73</definedName>
    <definedName name="OSRRefE21_1x_5" localSheetId="49">'300 &amp; 317'!$O$70:$O$79</definedName>
    <definedName name="OSRRefE21_1x_5" localSheetId="50">'301'!$O$31:$O$40</definedName>
    <definedName name="OSRRefE21_1x_5" localSheetId="52">'307'!$O$42:$O$51</definedName>
    <definedName name="OSRRefE21_1x_5" localSheetId="53">'308'!$O$45:$O$54</definedName>
    <definedName name="OSRRefE21_1x_5" localSheetId="64">'309'!$O$21</definedName>
    <definedName name="OSRRefE21_1x_5" localSheetId="63">'310'!$O$36:$O$45</definedName>
    <definedName name="OSRRefE21_1x_5" localSheetId="71">'310 &amp; 491'!$O$38:$O$47</definedName>
    <definedName name="OSRRefE21_1x_5" localSheetId="54">'311'!$O$45:$O$54</definedName>
    <definedName name="OSRRefE21_1x_5" localSheetId="65">'313'!$O$21</definedName>
    <definedName name="OSRRefE21_1x_5" localSheetId="57">'315'!$O$53:$O$62</definedName>
    <definedName name="OSRRefE21_1x_5" localSheetId="60">'316'!$O$36:$O$45</definedName>
    <definedName name="OSRRefE21_1x_5" localSheetId="62">'317'!$O$45:$O$54</definedName>
    <definedName name="OSRRefE21_1x_5" localSheetId="66">'321'!$O$33:$O$42</definedName>
    <definedName name="OSRRefE21_1x_5" localSheetId="68">'325'!$O$34:$O$43</definedName>
    <definedName name="OSRRefE21_1x_5" localSheetId="58">'326'!$O$37:$O$46</definedName>
    <definedName name="OSRRefE21_1x_5" localSheetId="51">'330'!$O$42:$O$51</definedName>
    <definedName name="OSRRefE21_1x_5" localSheetId="56">'331'!$O$53:$O$62</definedName>
    <definedName name="OSRRefE21_1x_5" localSheetId="59">'332'!$O$36:$O$45</definedName>
    <definedName name="OSRRefE21_1x_5" localSheetId="73">'405'!$O$36:$O$45</definedName>
    <definedName name="OSRRefE21_1x_5" localSheetId="75">'411'!$O$29:$O$38</definedName>
    <definedName name="OSRRefE21_1x_5" localSheetId="76">'412'!$O$21</definedName>
    <definedName name="OSRRefE21_1x_5" localSheetId="77">'413'!$O$21</definedName>
    <definedName name="OSRRefE21_1x_5" localSheetId="78">'414'!$O$21</definedName>
    <definedName name="OSRRefE21_1x_5" localSheetId="79">'415'!$O$36:$O$45</definedName>
    <definedName name="OSRRefE21_1x_5" localSheetId="80">'418'!$O$33:$O$42</definedName>
    <definedName name="OSRRefE21_1x_5" localSheetId="81">'423'!$O$28:$O$37</definedName>
    <definedName name="OSRRefE21_1x_5" localSheetId="82">'424'!$O$21</definedName>
    <definedName name="OSRRefE21_1x_5" localSheetId="84">'425'!$O$23</definedName>
    <definedName name="OSRRefE21_1x_5" localSheetId="86">'430'!$O$29:$O$38</definedName>
    <definedName name="OSRRefE21_1x_5" localSheetId="87">'433'!$O$37:$O$46</definedName>
    <definedName name="OSRRefE21_1x_5" localSheetId="88">'444'!$O$37:$O$46</definedName>
    <definedName name="OSRRefE21_1x_5" localSheetId="89">'450'!$O$37:$O$46</definedName>
    <definedName name="OSRRefE21_1x_5" localSheetId="72">'491'!$O$37:$O$46</definedName>
    <definedName name="OSRRefE21_1x_5" localSheetId="85">'492'!$O$37:$O$46</definedName>
    <definedName name="OSRRefE21_1x_5" localSheetId="91">'501'!$O$31:$O$40</definedName>
    <definedName name="OSRRefE21_1x_5" localSheetId="39">'Div 2'!$O$31:$O$40</definedName>
    <definedName name="OSRRefE21_1x_5" localSheetId="47">'Div 3'!$O$68:$O$77</definedName>
    <definedName name="OSRRefE21_1x_5" localSheetId="70">'Div 4'!$O$39:$O$48</definedName>
    <definedName name="OSRRefE21_1x_5" localSheetId="90">'Div 5'!$O$31:$O$40</definedName>
    <definedName name="OSRRefE21_1x_5" localSheetId="61">'Div 6'!$O$45:$O$54</definedName>
    <definedName name="OSRRefE21_1x_5" localSheetId="2">Summary!$O$76:$O$85</definedName>
    <definedName name="OSRRefE21_2_0x" localSheetId="40">'200'!$J$23:$O$23</definedName>
    <definedName name="OSRRefE21_2_0x" localSheetId="41">'201'!$J$40:$O$40</definedName>
    <definedName name="OSRRefE21_2_0x" localSheetId="42">'202'!$J$40:$O$40</definedName>
    <definedName name="OSRRefE21_2_0x" localSheetId="43">'203'!$J$41:$O$41</definedName>
    <definedName name="OSRRefE21_2_0x" localSheetId="44">'204'!$J$40:$O$40</definedName>
    <definedName name="OSRRefE21_2_0x" localSheetId="45">'205'!$J$40:$O$40</definedName>
    <definedName name="OSRRefE21_2_0x" localSheetId="46">'206'!$J$40:$O$40</definedName>
    <definedName name="OSRRefE21_2_0x" localSheetId="48">'300'!$J$75:$O$75</definedName>
    <definedName name="OSRRefE21_2_0x" localSheetId="49">'300 &amp; 317'!$J$81:$O$81</definedName>
    <definedName name="OSRRefE21_2_0x" localSheetId="50">'301'!$J$42:$O$42</definedName>
    <definedName name="OSRRefE21_2_0x" localSheetId="52">'307'!$J$53:$O$53</definedName>
    <definedName name="OSRRefE21_2_0x" localSheetId="53">'308'!$J$56:$O$56</definedName>
    <definedName name="OSRRefE21_2_0x" localSheetId="64">'309'!$J$23:$O$23</definedName>
    <definedName name="OSRRefE21_2_0x" localSheetId="63">'310'!$J$47:$O$47</definedName>
    <definedName name="OSRRefE21_2_0x" localSheetId="71">'310 &amp; 491'!$J$49:$O$49</definedName>
    <definedName name="OSRRefE21_2_0x" localSheetId="54">'311'!$J$56:$O$56</definedName>
    <definedName name="OSRRefE21_2_0x" localSheetId="65">'313'!$J$23:$O$23</definedName>
    <definedName name="OSRRefE21_2_0x" localSheetId="57">'315'!$J$64:$O$64</definedName>
    <definedName name="OSRRefE21_2_0x" localSheetId="60">'316'!$J$47:$O$47</definedName>
    <definedName name="OSRRefE21_2_0x" localSheetId="62">'317'!$J$56:$O$56</definedName>
    <definedName name="OSRRefE21_2_0x" localSheetId="66">'321'!$J$44:$O$44</definedName>
    <definedName name="OSRRefE21_2_0x" localSheetId="68">'325'!$J$45:$O$45</definedName>
    <definedName name="OSRRefE21_2_0x" localSheetId="58">'326'!$J$48:$O$48</definedName>
    <definedName name="OSRRefE21_2_0x" localSheetId="51">'330'!$J$53:$O$53</definedName>
    <definedName name="OSRRefE21_2_0x" localSheetId="56">'331'!$J$64:$O$64</definedName>
    <definedName name="OSRRefE21_2_0x" localSheetId="59">'332'!$J$47:$O$47</definedName>
    <definedName name="OSRRefE21_2_0x" localSheetId="73">'405'!$J$47:$O$47</definedName>
    <definedName name="OSRRefE21_2_0x" localSheetId="75">'411'!$J$40:$O$40</definedName>
    <definedName name="OSRRefE21_2_0x" localSheetId="76">'412'!$J$23:$O$23</definedName>
    <definedName name="OSRRefE21_2_0x" localSheetId="79">'415'!$J$47:$O$47</definedName>
    <definedName name="OSRRefE21_2_0x" localSheetId="80">'418'!$J$44:$O$44</definedName>
    <definedName name="OSRRefE21_2_0x" localSheetId="81">'423'!$J$39:$O$39</definedName>
    <definedName name="OSRRefE21_2_0x" localSheetId="84">'425'!$J$25:$O$25</definedName>
    <definedName name="OSRRefE21_2_0x" localSheetId="86">'430'!$J$40:$O$40</definedName>
    <definedName name="OSRRefE21_2_0x" localSheetId="87">'433'!$J$48:$O$48</definedName>
    <definedName name="OSRRefE21_2_0x" localSheetId="88">'444'!$J$48:$O$48</definedName>
    <definedName name="OSRRefE21_2_0x" localSheetId="89">'450'!$J$48:$O$48</definedName>
    <definedName name="OSRRefE21_2_0x" localSheetId="72">'491'!$J$48:$O$48</definedName>
    <definedName name="OSRRefE21_2_0x" localSheetId="85">'492'!$J$48:$O$48</definedName>
    <definedName name="OSRRefE21_2_0x" localSheetId="91">'501'!$J$42:$O$42</definedName>
    <definedName name="OSRRefE21_2_0x" localSheetId="39">'Div 2'!$J$42:$O$42</definedName>
    <definedName name="OSRRefE21_2_0x" localSheetId="47">'Div 3'!$J$79:$O$79</definedName>
    <definedName name="OSRRefE21_2_0x" localSheetId="70">'Div 4'!$J$50:$O$50</definedName>
    <definedName name="OSRRefE21_2_0x" localSheetId="90">'Div 5'!$J$42:$O$42</definedName>
    <definedName name="OSRRefE21_2_0x" localSheetId="61">'Div 6'!$J$56:$O$56</definedName>
    <definedName name="OSRRefE21_2_0x" localSheetId="2">Summary!$J$87:$O$87</definedName>
    <definedName name="OSRRefE21_2_1x" localSheetId="44">'204'!$J$41:$O$41</definedName>
    <definedName name="OSRRefE21_20_0x" localSheetId="48">'300'!$J$123:$O$123</definedName>
    <definedName name="OSRRefE21_20_0x" localSheetId="49">'300 &amp; 317'!$J$129:$O$129</definedName>
    <definedName name="OSRRefE21_20_0x" localSheetId="50">'301'!$J$89:$O$89</definedName>
    <definedName name="OSRRefE21_20_0x" localSheetId="71">'310 &amp; 491'!$J$105:$O$105</definedName>
    <definedName name="OSRRefE21_20_0x" localSheetId="56">'331'!$J$110:$O$110</definedName>
    <definedName name="OSRRefE21_20_0x" localSheetId="72">'491'!$J$102:$O$102</definedName>
    <definedName name="OSRRefE21_20_0x" localSheetId="47">'Div 3'!$J$127:$O$127</definedName>
    <definedName name="OSRRefE21_20_0x" localSheetId="70">'Div 4'!$J$105:$O$105</definedName>
    <definedName name="OSRRefE21_20_0x" localSheetId="2">Summary!$J$133:$O$133</definedName>
    <definedName name="OSRRefE21_20_1x" localSheetId="48">'300'!$J$124:$O$124</definedName>
    <definedName name="OSRRefE21_20_1x" localSheetId="49">'300 &amp; 317'!$J$130:$O$130</definedName>
    <definedName name="OSRRefE21_20_1x" localSheetId="56">'331'!$J$111:$O$111</definedName>
    <definedName name="OSRRefE21_20_1x" localSheetId="47">'Div 3'!$J$128:$O$128</definedName>
    <definedName name="OSRRefE21_20_1x" localSheetId="2">Summary!$J$134:$O$134</definedName>
    <definedName name="OSRRefE21_20_2x" localSheetId="48">'300'!$J$125:$O$125</definedName>
    <definedName name="OSRRefE21_20_2x" localSheetId="49">'300 &amp; 317'!$J$131:$O$131</definedName>
    <definedName name="OSRRefE21_20_2x" localSheetId="2">Summary!$J$135:$O$135</definedName>
    <definedName name="OSRRefE21_20_3x" localSheetId="48">'300'!$J$126:$O$126</definedName>
    <definedName name="OSRRefE21_20_3x" localSheetId="49">'300 &amp; 317'!$J$132:$O$132</definedName>
    <definedName name="OSRRefE21_20_3x" localSheetId="2">Summary!$J$136:$O$136</definedName>
    <definedName name="OSRRefE21_20_4x" localSheetId="48">'300'!$J$127:$O$127</definedName>
    <definedName name="OSRRefE21_20_4x" localSheetId="49">'300 &amp; 317'!$J$133:$O$133</definedName>
    <definedName name="OSRRefE21_20_4x" localSheetId="2">Summary!$J$137:$O$137</definedName>
    <definedName name="OSRRefE21_20_5x" localSheetId="48">'300'!$J$128:$O$128</definedName>
    <definedName name="OSRRefE21_20_5x" localSheetId="49">'300 &amp; 317'!$J$134:$O$134</definedName>
    <definedName name="OSRRefE21_20_6x" localSheetId="48">'300'!$J$129:$O$129</definedName>
    <definedName name="OSRRefE21_20_6x" localSheetId="49">'300 &amp; 317'!$J$135:$O$135</definedName>
    <definedName name="OSRRefE21_20x_0" localSheetId="48">'300'!$J$123:$J$129</definedName>
    <definedName name="OSRRefE21_20x_0" localSheetId="49">'300 &amp; 317'!$J$129:$J$135</definedName>
    <definedName name="OSRRefE21_20x_0" localSheetId="50">'301'!$J$89</definedName>
    <definedName name="OSRRefE21_20x_0" localSheetId="71">'310 &amp; 491'!$J$105</definedName>
    <definedName name="OSRRefE21_20x_0" localSheetId="56">'331'!$J$110:$J$111</definedName>
    <definedName name="OSRRefE21_20x_0" localSheetId="72">'491'!$J$102</definedName>
    <definedName name="OSRRefE21_20x_0" localSheetId="47">'Div 3'!$J$127:$J$128</definedName>
    <definedName name="OSRRefE21_20x_0" localSheetId="70">'Div 4'!$J$105</definedName>
    <definedName name="OSRRefE21_20x_0" localSheetId="2">Summary!$J$133:$J$137</definedName>
    <definedName name="OSRRefE21_20x_1" localSheetId="48">'300'!$K$123:$K$129</definedName>
    <definedName name="OSRRefE21_20x_1" localSheetId="49">'300 &amp; 317'!$K$129:$K$135</definedName>
    <definedName name="OSRRefE21_20x_1" localSheetId="50">'301'!$K$89</definedName>
    <definedName name="OSRRefE21_20x_1" localSheetId="71">'310 &amp; 491'!$K$105</definedName>
    <definedName name="OSRRefE21_20x_1" localSheetId="56">'331'!$K$110:$K$111</definedName>
    <definedName name="OSRRefE21_20x_1" localSheetId="72">'491'!$K$102</definedName>
    <definedName name="OSRRefE21_20x_1" localSheetId="47">'Div 3'!$K$127:$K$128</definedName>
    <definedName name="OSRRefE21_20x_1" localSheetId="70">'Div 4'!$K$105</definedName>
    <definedName name="OSRRefE21_20x_1" localSheetId="2">Summary!$K$133:$K$137</definedName>
    <definedName name="OSRRefE21_20x_2" localSheetId="48">'300'!$L$123:$L$129</definedName>
    <definedName name="OSRRefE21_20x_2" localSheetId="49">'300 &amp; 317'!$L$129:$L$135</definedName>
    <definedName name="OSRRefE21_20x_2" localSheetId="50">'301'!$L$89</definedName>
    <definedName name="OSRRefE21_20x_2" localSheetId="71">'310 &amp; 491'!$L$105</definedName>
    <definedName name="OSRRefE21_20x_2" localSheetId="56">'331'!$L$110:$L$111</definedName>
    <definedName name="OSRRefE21_20x_2" localSheetId="72">'491'!$L$102</definedName>
    <definedName name="OSRRefE21_20x_2" localSheetId="47">'Div 3'!$L$127:$L$128</definedName>
    <definedName name="OSRRefE21_20x_2" localSheetId="70">'Div 4'!$L$105</definedName>
    <definedName name="OSRRefE21_20x_2" localSheetId="2">Summary!$L$133:$L$137</definedName>
    <definedName name="OSRRefE21_20x_3" localSheetId="48">'300'!$M$123:$M$129</definedName>
    <definedName name="OSRRefE21_20x_3" localSheetId="49">'300 &amp; 317'!$M$129:$M$135</definedName>
    <definedName name="OSRRefE21_20x_3" localSheetId="50">'301'!$M$89</definedName>
    <definedName name="OSRRefE21_20x_3" localSheetId="71">'310 &amp; 491'!$M$105</definedName>
    <definedName name="OSRRefE21_20x_3" localSheetId="56">'331'!$M$110:$M$111</definedName>
    <definedName name="OSRRefE21_20x_3" localSheetId="72">'491'!$M$102</definedName>
    <definedName name="OSRRefE21_20x_3" localSheetId="47">'Div 3'!$M$127:$M$128</definedName>
    <definedName name="OSRRefE21_20x_3" localSheetId="70">'Div 4'!$M$105</definedName>
    <definedName name="OSRRefE21_20x_3" localSheetId="2">Summary!$M$133:$M$137</definedName>
    <definedName name="OSRRefE21_20x_4" localSheetId="48">'300'!$N$123:$N$129</definedName>
    <definedName name="OSRRefE21_20x_4" localSheetId="49">'300 &amp; 317'!$N$129:$N$135</definedName>
    <definedName name="OSRRefE21_20x_4" localSheetId="50">'301'!$N$89</definedName>
    <definedName name="OSRRefE21_20x_4" localSheetId="71">'310 &amp; 491'!$N$105</definedName>
    <definedName name="OSRRefE21_20x_4" localSheetId="56">'331'!$N$110:$N$111</definedName>
    <definedName name="OSRRefE21_20x_4" localSheetId="72">'491'!$N$102</definedName>
    <definedName name="OSRRefE21_20x_4" localSheetId="47">'Div 3'!$N$127:$N$128</definedName>
    <definedName name="OSRRefE21_20x_4" localSheetId="70">'Div 4'!$N$105</definedName>
    <definedName name="OSRRefE21_20x_4" localSheetId="2">Summary!$N$133:$N$137</definedName>
    <definedName name="OSRRefE21_20x_5" localSheetId="48">'300'!$O$123:$O$129</definedName>
    <definedName name="OSRRefE21_20x_5" localSheetId="49">'300 &amp; 317'!$O$129:$O$135</definedName>
    <definedName name="OSRRefE21_20x_5" localSheetId="50">'301'!$O$89</definedName>
    <definedName name="OSRRefE21_20x_5" localSheetId="71">'310 &amp; 491'!$O$105</definedName>
    <definedName name="OSRRefE21_20x_5" localSheetId="56">'331'!$O$110:$O$111</definedName>
    <definedName name="OSRRefE21_20x_5" localSheetId="72">'491'!$O$102</definedName>
    <definedName name="OSRRefE21_20x_5" localSheetId="47">'Div 3'!$O$127:$O$128</definedName>
    <definedName name="OSRRefE21_20x_5" localSheetId="70">'Div 4'!$O$105</definedName>
    <definedName name="OSRRefE21_20x_5" localSheetId="2">Summary!$O$133:$O$137</definedName>
    <definedName name="OSRRefE21_21_0x" localSheetId="48">'300'!$J$131:$O$131</definedName>
    <definedName name="OSRRefE21_21_0x" localSheetId="49">'300 &amp; 317'!$J$137:$O$137</definedName>
    <definedName name="OSRRefE21_21_0x" localSheetId="50">'301'!$J$91:$O$91</definedName>
    <definedName name="OSRRefE21_21_0x" localSheetId="56">'331'!$J$113:$O$113</definedName>
    <definedName name="OSRRefE21_21_0x" localSheetId="47">'Div 3'!$J$130:$O$130</definedName>
    <definedName name="OSRRefE21_21_0x" localSheetId="70">'Div 4'!$J$107:$O$107</definedName>
    <definedName name="OSRRefE21_21_0x" localSheetId="2">Summary!$J$139:$O$139</definedName>
    <definedName name="OSRRefE21_21_1x" localSheetId="48">'300'!$J$132:$O$132</definedName>
    <definedName name="OSRRefE21_21_1x" localSheetId="49">'300 &amp; 317'!$J$138:$O$138</definedName>
    <definedName name="OSRRefE21_21_1x" localSheetId="50">'301'!$J$92:$O$92</definedName>
    <definedName name="OSRRefE21_21_1x" localSheetId="47">'Div 3'!$J$131:$O$131</definedName>
    <definedName name="OSRRefE21_21_1x" localSheetId="70">'Div 4'!$J$108:$O$108</definedName>
    <definedName name="OSRRefE21_21_1x" localSheetId="2">Summary!$J$140:$O$140</definedName>
    <definedName name="OSRRefE21_21_2x" localSheetId="47">'Div 3'!$J$132:$O$132</definedName>
    <definedName name="OSRRefE21_21_3x" localSheetId="47">'Div 3'!$J$133:$O$133</definedName>
    <definedName name="OSRRefE21_21_4x" localSheetId="47">'Div 3'!$J$134:$O$134</definedName>
    <definedName name="OSRRefE21_21_5x" localSheetId="47">'Div 3'!$J$135:$O$135</definedName>
    <definedName name="OSRRefE21_21_6x" localSheetId="47">'Div 3'!$J$136:$O$136</definedName>
    <definedName name="OSRRefE21_21x_0" localSheetId="48">'300'!$J$131:$J$132</definedName>
    <definedName name="OSRRefE21_21x_0" localSheetId="49">'300 &amp; 317'!$J$137:$J$138</definedName>
    <definedName name="OSRRefE21_21x_0" localSheetId="50">'301'!$J$91:$J$92</definedName>
    <definedName name="OSRRefE21_21x_0" localSheetId="56">'331'!$J$113</definedName>
    <definedName name="OSRRefE21_21x_0" localSheetId="47">'Div 3'!$J$130:$J$136</definedName>
    <definedName name="OSRRefE21_21x_0" localSheetId="70">'Div 4'!$J$107:$J$108</definedName>
    <definedName name="OSRRefE21_21x_0" localSheetId="2">Summary!$J$139:$J$140</definedName>
    <definedName name="OSRRefE21_21x_1" localSheetId="48">'300'!$K$131:$K$132</definedName>
    <definedName name="OSRRefE21_21x_1" localSheetId="49">'300 &amp; 317'!$K$137:$K$138</definedName>
    <definedName name="OSRRefE21_21x_1" localSheetId="50">'301'!$K$91:$K$92</definedName>
    <definedName name="OSRRefE21_21x_1" localSheetId="56">'331'!$K$113</definedName>
    <definedName name="OSRRefE21_21x_1" localSheetId="47">'Div 3'!$K$130:$K$136</definedName>
    <definedName name="OSRRefE21_21x_1" localSheetId="70">'Div 4'!$K$107:$K$108</definedName>
    <definedName name="OSRRefE21_21x_1" localSheetId="2">Summary!$K$139:$K$140</definedName>
    <definedName name="OSRRefE21_21x_2" localSheetId="48">'300'!$L$131:$L$132</definedName>
    <definedName name="OSRRefE21_21x_2" localSheetId="49">'300 &amp; 317'!$L$137:$L$138</definedName>
    <definedName name="OSRRefE21_21x_2" localSheetId="50">'301'!$L$91:$L$92</definedName>
    <definedName name="OSRRefE21_21x_2" localSheetId="56">'331'!$L$113</definedName>
    <definedName name="OSRRefE21_21x_2" localSheetId="47">'Div 3'!$L$130:$L$136</definedName>
    <definedName name="OSRRefE21_21x_2" localSheetId="70">'Div 4'!$L$107:$L$108</definedName>
    <definedName name="OSRRefE21_21x_2" localSheetId="2">Summary!$L$139:$L$140</definedName>
    <definedName name="OSRRefE21_21x_3" localSheetId="48">'300'!$M$131:$M$132</definedName>
    <definedName name="OSRRefE21_21x_3" localSheetId="49">'300 &amp; 317'!$M$137:$M$138</definedName>
    <definedName name="OSRRefE21_21x_3" localSheetId="50">'301'!$M$91:$M$92</definedName>
    <definedName name="OSRRefE21_21x_3" localSheetId="56">'331'!$M$113</definedName>
    <definedName name="OSRRefE21_21x_3" localSheetId="47">'Div 3'!$M$130:$M$136</definedName>
    <definedName name="OSRRefE21_21x_3" localSheetId="70">'Div 4'!$M$107:$M$108</definedName>
    <definedName name="OSRRefE21_21x_3" localSheetId="2">Summary!$M$139:$M$140</definedName>
    <definedName name="OSRRefE21_21x_4" localSheetId="48">'300'!$N$131:$N$132</definedName>
    <definedName name="OSRRefE21_21x_4" localSheetId="49">'300 &amp; 317'!$N$137:$N$138</definedName>
    <definedName name="OSRRefE21_21x_4" localSheetId="50">'301'!$N$91:$N$92</definedName>
    <definedName name="OSRRefE21_21x_4" localSheetId="56">'331'!$N$113</definedName>
    <definedName name="OSRRefE21_21x_4" localSheetId="47">'Div 3'!$N$130:$N$136</definedName>
    <definedName name="OSRRefE21_21x_4" localSheetId="70">'Div 4'!$N$107:$N$108</definedName>
    <definedName name="OSRRefE21_21x_4" localSheetId="2">Summary!$N$139:$N$140</definedName>
    <definedName name="OSRRefE21_21x_5" localSheetId="48">'300'!$O$131:$O$132</definedName>
    <definedName name="OSRRefE21_21x_5" localSheetId="49">'300 &amp; 317'!$O$137:$O$138</definedName>
    <definedName name="OSRRefE21_21x_5" localSheetId="50">'301'!$O$91:$O$92</definedName>
    <definedName name="OSRRefE21_21x_5" localSheetId="56">'331'!$O$113</definedName>
    <definedName name="OSRRefE21_21x_5" localSheetId="47">'Div 3'!$O$130:$O$136</definedName>
    <definedName name="OSRRefE21_21x_5" localSheetId="70">'Div 4'!$O$107:$O$108</definedName>
    <definedName name="OSRRefE21_21x_5" localSheetId="2">Summary!$O$139:$O$140</definedName>
    <definedName name="OSRRefE21_22_0x" localSheetId="48">'300'!$J$134:$O$134</definedName>
    <definedName name="OSRRefE21_22_0x" localSheetId="49">'300 &amp; 317'!$J$140:$O$140</definedName>
    <definedName name="OSRRefE21_22_0x" localSheetId="50">'301'!$J$94:$O$94</definedName>
    <definedName name="OSRRefE21_22_0x" localSheetId="47">'Div 3'!$J$138:$O$138</definedName>
    <definedName name="OSRRefE21_22_0x" localSheetId="70">'Div 4'!$J$110:$O$110</definedName>
    <definedName name="OSRRefE21_22_0x" localSheetId="2">Summary!$J$142:$O$142</definedName>
    <definedName name="OSRRefE21_22_1x" localSheetId="47">'Div 3'!$J$139:$O$139</definedName>
    <definedName name="OSRRefE21_22_1x" localSheetId="2">Summary!$J$143:$O$143</definedName>
    <definedName name="OSRRefE21_22_2x" localSheetId="2">Summary!$J$144:$O$144</definedName>
    <definedName name="OSRRefE21_22_3x" localSheetId="2">Summary!$J$145:$O$145</definedName>
    <definedName name="OSRRefE21_22_4x" localSheetId="2">Summary!$J$146:$O$146</definedName>
    <definedName name="OSRRefE21_22_5x" localSheetId="2">Summary!$J$147:$O$147</definedName>
    <definedName name="OSRRefE21_22_6x" localSheetId="2">Summary!$J$148:$O$148</definedName>
    <definedName name="OSRRefE21_22_7x" localSheetId="2">Summary!$J$149:$O$149</definedName>
    <definedName name="OSRRefE21_22_8x" localSheetId="2">Summary!$J$150:$O$150</definedName>
    <definedName name="OSRRefE21_22_9x" localSheetId="2">Summary!$J$151:$O$151</definedName>
    <definedName name="OSRRefE21_22x_0" localSheetId="48">'300'!$J$134</definedName>
    <definedName name="OSRRefE21_22x_0" localSheetId="49">'300 &amp; 317'!$J$140</definedName>
    <definedName name="OSRRefE21_22x_0" localSheetId="50">'301'!$J$94</definedName>
    <definedName name="OSRRefE21_22x_0" localSheetId="47">'Div 3'!$J$138:$J$139</definedName>
    <definedName name="OSRRefE21_22x_0" localSheetId="70">'Div 4'!$J$110</definedName>
    <definedName name="OSRRefE21_22x_0" localSheetId="2">Summary!$J$142:$J$151</definedName>
    <definedName name="OSRRefE21_22x_1" localSheetId="48">'300'!$K$134</definedName>
    <definedName name="OSRRefE21_22x_1" localSheetId="49">'300 &amp; 317'!$K$140</definedName>
    <definedName name="OSRRefE21_22x_1" localSheetId="50">'301'!$K$94</definedName>
    <definedName name="OSRRefE21_22x_1" localSheetId="47">'Div 3'!$K$138:$K$139</definedName>
    <definedName name="OSRRefE21_22x_1" localSheetId="70">'Div 4'!$K$110</definedName>
    <definedName name="OSRRefE21_22x_1" localSheetId="2">Summary!$K$142:$K$151</definedName>
    <definedName name="OSRRefE21_22x_2" localSheetId="48">'300'!$L$134</definedName>
    <definedName name="OSRRefE21_22x_2" localSheetId="49">'300 &amp; 317'!$L$140</definedName>
    <definedName name="OSRRefE21_22x_2" localSheetId="50">'301'!$L$94</definedName>
    <definedName name="OSRRefE21_22x_2" localSheetId="47">'Div 3'!$L$138:$L$139</definedName>
    <definedName name="OSRRefE21_22x_2" localSheetId="70">'Div 4'!$L$110</definedName>
    <definedName name="OSRRefE21_22x_2" localSheetId="2">Summary!$L$142:$L$151</definedName>
    <definedName name="OSRRefE21_22x_3" localSheetId="48">'300'!$M$134</definedName>
    <definedName name="OSRRefE21_22x_3" localSheetId="49">'300 &amp; 317'!$M$140</definedName>
    <definedName name="OSRRefE21_22x_3" localSheetId="50">'301'!$M$94</definedName>
    <definedName name="OSRRefE21_22x_3" localSheetId="47">'Div 3'!$M$138:$M$139</definedName>
    <definedName name="OSRRefE21_22x_3" localSheetId="70">'Div 4'!$M$110</definedName>
    <definedName name="OSRRefE21_22x_3" localSheetId="2">Summary!$M$142:$M$151</definedName>
    <definedName name="OSRRefE21_22x_4" localSheetId="48">'300'!$N$134</definedName>
    <definedName name="OSRRefE21_22x_4" localSheetId="49">'300 &amp; 317'!$N$140</definedName>
    <definedName name="OSRRefE21_22x_4" localSheetId="50">'301'!$N$94</definedName>
    <definedName name="OSRRefE21_22x_4" localSheetId="47">'Div 3'!$N$138:$N$139</definedName>
    <definedName name="OSRRefE21_22x_4" localSheetId="70">'Div 4'!$N$110</definedName>
    <definedName name="OSRRefE21_22x_4" localSheetId="2">Summary!$N$142:$N$151</definedName>
    <definedName name="OSRRefE21_22x_5" localSheetId="48">'300'!$O$134</definedName>
    <definedName name="OSRRefE21_22x_5" localSheetId="49">'300 &amp; 317'!$O$140</definedName>
    <definedName name="OSRRefE21_22x_5" localSheetId="50">'301'!$O$94</definedName>
    <definedName name="OSRRefE21_22x_5" localSheetId="47">'Div 3'!$O$138:$O$139</definedName>
    <definedName name="OSRRefE21_22x_5" localSheetId="70">'Div 4'!$O$110</definedName>
    <definedName name="OSRRefE21_22x_5" localSheetId="2">Summary!$O$142:$O$151</definedName>
    <definedName name="OSRRefE21_23_0x" localSheetId="48">'300'!$J$136:$O$136</definedName>
    <definedName name="OSRRefE21_23_0x" localSheetId="49">'300 &amp; 317'!$J$142:$O$142</definedName>
    <definedName name="OSRRefE21_23_0x" localSheetId="47">'Div 3'!$J$141:$O$141</definedName>
    <definedName name="OSRRefE21_23_0x" localSheetId="2">Summary!$J$153:$O$153</definedName>
    <definedName name="OSRRefE21_23_1x" localSheetId="48">'300'!$J$137:$O$137</definedName>
    <definedName name="OSRRefE21_23_1x" localSheetId="49">'300 &amp; 317'!$J$143:$O$143</definedName>
    <definedName name="OSRRefE21_23_1x" localSheetId="2">Summary!$J$154:$O$154</definedName>
    <definedName name="OSRRefE21_23_2x" localSheetId="48">'300'!$J$138:$O$138</definedName>
    <definedName name="OSRRefE21_23_2x" localSheetId="49">'300 &amp; 317'!$J$144:$O$144</definedName>
    <definedName name="OSRRefE21_23x_0" localSheetId="48">'300'!$J$136:$J$138</definedName>
    <definedName name="OSRRefE21_23x_0" localSheetId="49">'300 &amp; 317'!$J$142:$J$144</definedName>
    <definedName name="OSRRefE21_23x_0" localSheetId="47">'Div 3'!$J$141</definedName>
    <definedName name="OSRRefE21_23x_0" localSheetId="2">Summary!$J$153:$J$154</definedName>
    <definedName name="OSRRefE21_23x_1" localSheetId="48">'300'!$K$136:$K$138</definedName>
    <definedName name="OSRRefE21_23x_1" localSheetId="49">'300 &amp; 317'!$K$142:$K$144</definedName>
    <definedName name="OSRRefE21_23x_1" localSheetId="47">'Div 3'!$K$141</definedName>
    <definedName name="OSRRefE21_23x_1" localSheetId="2">Summary!$K$153:$K$154</definedName>
    <definedName name="OSRRefE21_23x_2" localSheetId="48">'300'!$L$136:$L$138</definedName>
    <definedName name="OSRRefE21_23x_2" localSheetId="49">'300 &amp; 317'!$L$142:$L$144</definedName>
    <definedName name="OSRRefE21_23x_2" localSheetId="47">'Div 3'!$L$141</definedName>
    <definedName name="OSRRefE21_23x_2" localSheetId="2">Summary!$L$153:$L$154</definedName>
    <definedName name="OSRRefE21_23x_3" localSheetId="48">'300'!$M$136:$M$138</definedName>
    <definedName name="OSRRefE21_23x_3" localSheetId="49">'300 &amp; 317'!$M$142:$M$144</definedName>
    <definedName name="OSRRefE21_23x_3" localSheetId="47">'Div 3'!$M$141</definedName>
    <definedName name="OSRRefE21_23x_3" localSheetId="2">Summary!$M$153:$M$154</definedName>
    <definedName name="OSRRefE21_23x_4" localSheetId="48">'300'!$N$136:$N$138</definedName>
    <definedName name="OSRRefE21_23x_4" localSheetId="49">'300 &amp; 317'!$N$142:$N$144</definedName>
    <definedName name="OSRRefE21_23x_4" localSheetId="47">'Div 3'!$N$141</definedName>
    <definedName name="OSRRefE21_23x_4" localSheetId="2">Summary!$N$153:$N$154</definedName>
    <definedName name="OSRRefE21_23x_5" localSheetId="48">'300'!$O$136:$O$138</definedName>
    <definedName name="OSRRefE21_23x_5" localSheetId="49">'300 &amp; 317'!$O$142:$O$144</definedName>
    <definedName name="OSRRefE21_23x_5" localSheetId="47">'Div 3'!$O$141</definedName>
    <definedName name="OSRRefE21_23x_5" localSheetId="2">Summary!$O$153:$O$154</definedName>
    <definedName name="OSRRefE21_24_0x" localSheetId="48">'300'!$J$140:$O$140</definedName>
    <definedName name="OSRRefE21_24_0x" localSheetId="49">'300 &amp; 317'!$J$146:$O$146</definedName>
    <definedName name="OSRRefE21_24_0x" localSheetId="47">'Div 3'!$J$143:$O$143</definedName>
    <definedName name="OSRRefE21_24_0x" localSheetId="2">Summary!$J$156:$O$156</definedName>
    <definedName name="OSRRefE21_24_1x" localSheetId="47">'Div 3'!$J$144:$O$144</definedName>
    <definedName name="OSRRefE21_24_2x" localSheetId="47">'Div 3'!$J$145:$O$145</definedName>
    <definedName name="OSRRefE21_24x_0" localSheetId="48">'300'!$J$140</definedName>
    <definedName name="OSRRefE21_24x_0" localSheetId="49">'300 &amp; 317'!$J$146</definedName>
    <definedName name="OSRRefE21_24x_0" localSheetId="47">'Div 3'!$J$143:$J$145</definedName>
    <definedName name="OSRRefE21_24x_0" localSheetId="2">Summary!$J$156</definedName>
    <definedName name="OSRRefE21_24x_1" localSheetId="48">'300'!$K$140</definedName>
    <definedName name="OSRRefE21_24x_1" localSheetId="49">'300 &amp; 317'!$K$146</definedName>
    <definedName name="OSRRefE21_24x_1" localSheetId="47">'Div 3'!$K$143:$K$145</definedName>
    <definedName name="OSRRefE21_24x_1" localSheetId="2">Summary!$K$156</definedName>
    <definedName name="OSRRefE21_24x_2" localSheetId="48">'300'!$L$140</definedName>
    <definedName name="OSRRefE21_24x_2" localSheetId="49">'300 &amp; 317'!$L$146</definedName>
    <definedName name="OSRRefE21_24x_2" localSheetId="47">'Div 3'!$L$143:$L$145</definedName>
    <definedName name="OSRRefE21_24x_2" localSheetId="2">Summary!$L$156</definedName>
    <definedName name="OSRRefE21_24x_3" localSheetId="48">'300'!$M$140</definedName>
    <definedName name="OSRRefE21_24x_3" localSheetId="49">'300 &amp; 317'!$M$146</definedName>
    <definedName name="OSRRefE21_24x_3" localSheetId="47">'Div 3'!$M$143:$M$145</definedName>
    <definedName name="OSRRefE21_24x_3" localSheetId="2">Summary!$M$156</definedName>
    <definedName name="OSRRefE21_24x_4" localSheetId="48">'300'!$N$140</definedName>
    <definedName name="OSRRefE21_24x_4" localSheetId="49">'300 &amp; 317'!$N$146</definedName>
    <definedName name="OSRRefE21_24x_4" localSheetId="47">'Div 3'!$N$143:$N$145</definedName>
    <definedName name="OSRRefE21_24x_4" localSheetId="2">Summary!$N$156</definedName>
    <definedName name="OSRRefE21_24x_5" localSheetId="48">'300'!$O$140</definedName>
    <definedName name="OSRRefE21_24x_5" localSheetId="49">'300 &amp; 317'!$O$146</definedName>
    <definedName name="OSRRefE21_24x_5" localSheetId="47">'Div 3'!$O$143:$O$145</definedName>
    <definedName name="OSRRefE21_24x_5" localSheetId="2">Summary!$O$156</definedName>
    <definedName name="OSRRefE21_25_0x" localSheetId="47">'Div 3'!$J$147:$O$147</definedName>
    <definedName name="OSRRefE21_25_0x" localSheetId="2">Summary!$J$158:$O$158</definedName>
    <definedName name="OSRRefE21_25_1x" localSheetId="2">Summary!$J$159:$O$159</definedName>
    <definedName name="OSRRefE21_25_2x" localSheetId="2">Summary!$J$160:$O$160</definedName>
    <definedName name="OSRRefE21_25x_0" localSheetId="47">'Div 3'!$J$147</definedName>
    <definedName name="OSRRefE21_25x_0" localSheetId="2">Summary!$J$158:$J$160</definedName>
    <definedName name="OSRRefE21_25x_1" localSheetId="47">'Div 3'!$K$147</definedName>
    <definedName name="OSRRefE21_25x_1" localSheetId="2">Summary!$K$158:$K$160</definedName>
    <definedName name="OSRRefE21_25x_2" localSheetId="47">'Div 3'!$L$147</definedName>
    <definedName name="OSRRefE21_25x_2" localSheetId="2">Summary!$L$158:$L$160</definedName>
    <definedName name="OSRRefE21_25x_3" localSheetId="47">'Div 3'!$M$147</definedName>
    <definedName name="OSRRefE21_25x_3" localSheetId="2">Summary!$M$158:$M$160</definedName>
    <definedName name="OSRRefE21_25x_4" localSheetId="47">'Div 3'!$N$147</definedName>
    <definedName name="OSRRefE21_25x_4" localSheetId="2">Summary!$N$158:$N$160</definedName>
    <definedName name="OSRRefE21_25x_5" localSheetId="47">'Div 3'!$O$147</definedName>
    <definedName name="OSRRefE21_25x_5" localSheetId="2">Summary!$O$158:$O$160</definedName>
    <definedName name="OSRRefE21_26_0x" localSheetId="2">Summary!$J$162:$O$162</definedName>
    <definedName name="OSRRefE21_26x_0" localSheetId="2">Summary!$J$162</definedName>
    <definedName name="OSRRefE21_26x_1" localSheetId="2">Summary!$K$162</definedName>
    <definedName name="OSRRefE21_26x_2" localSheetId="2">Summary!$L$162</definedName>
    <definedName name="OSRRefE21_26x_3" localSheetId="2">Summary!$M$162</definedName>
    <definedName name="OSRRefE21_26x_4" localSheetId="2">Summary!$N$162</definedName>
    <definedName name="OSRRefE21_26x_5" localSheetId="2">Summary!$O$162</definedName>
    <definedName name="OSRRefE21_2x_0" localSheetId="40">'200'!$J$23</definedName>
    <definedName name="OSRRefE21_2x_0" localSheetId="41">'201'!$J$40</definedName>
    <definedName name="OSRRefE21_2x_0" localSheetId="42">'202'!$J$40</definedName>
    <definedName name="OSRRefE21_2x_0" localSheetId="43">'203'!$J$41</definedName>
    <definedName name="OSRRefE21_2x_0" localSheetId="44">'204'!$J$40:$J$41</definedName>
    <definedName name="OSRRefE21_2x_0" localSheetId="45">'205'!$J$40</definedName>
    <definedName name="OSRRefE21_2x_0" localSheetId="46">'206'!$J$40</definedName>
    <definedName name="OSRRefE21_2x_0" localSheetId="48">'300'!$J$75</definedName>
    <definedName name="OSRRefE21_2x_0" localSheetId="49">'300 &amp; 317'!$J$81</definedName>
    <definedName name="OSRRefE21_2x_0" localSheetId="50">'301'!$J$42</definedName>
    <definedName name="OSRRefE21_2x_0" localSheetId="52">'307'!$J$53</definedName>
    <definedName name="OSRRefE21_2x_0" localSheetId="53">'308'!$J$56</definedName>
    <definedName name="OSRRefE21_2x_0" localSheetId="64">'309'!$J$23</definedName>
    <definedName name="OSRRefE21_2x_0" localSheetId="63">'310'!$J$47</definedName>
    <definedName name="OSRRefE21_2x_0" localSheetId="71">'310 &amp; 491'!$J$49</definedName>
    <definedName name="OSRRefE21_2x_0" localSheetId="54">'311'!$J$56</definedName>
    <definedName name="OSRRefE21_2x_0" localSheetId="65">'313'!$J$23</definedName>
    <definedName name="OSRRefE21_2x_0" localSheetId="57">'315'!$J$64</definedName>
    <definedName name="OSRRefE21_2x_0" localSheetId="60">'316'!$J$47</definedName>
    <definedName name="OSRRefE21_2x_0" localSheetId="62">'317'!$J$56</definedName>
    <definedName name="OSRRefE21_2x_0" localSheetId="66">'321'!$J$44</definedName>
    <definedName name="OSRRefE21_2x_0" localSheetId="68">'325'!$J$45</definedName>
    <definedName name="OSRRefE21_2x_0" localSheetId="58">'326'!$J$48</definedName>
    <definedName name="OSRRefE21_2x_0" localSheetId="51">'330'!$J$53</definedName>
    <definedName name="OSRRefE21_2x_0" localSheetId="56">'331'!$J$64</definedName>
    <definedName name="OSRRefE21_2x_0" localSheetId="59">'332'!$J$47</definedName>
    <definedName name="OSRRefE21_2x_0" localSheetId="73">'405'!$J$47</definedName>
    <definedName name="OSRRefE21_2x_0" localSheetId="75">'411'!$J$40</definedName>
    <definedName name="OSRRefE21_2x_0" localSheetId="76">'412'!$J$23</definedName>
    <definedName name="OSRRefE21_2x_0" localSheetId="79">'415'!$J$47</definedName>
    <definedName name="OSRRefE21_2x_0" localSheetId="80">'418'!$J$44</definedName>
    <definedName name="OSRRefE21_2x_0" localSheetId="81">'423'!$J$39</definedName>
    <definedName name="OSRRefE21_2x_0" localSheetId="84">'425'!$J$25</definedName>
    <definedName name="OSRRefE21_2x_0" localSheetId="86">'430'!$J$40</definedName>
    <definedName name="OSRRefE21_2x_0" localSheetId="87">'433'!$J$48</definedName>
    <definedName name="OSRRefE21_2x_0" localSheetId="88">'444'!$J$48</definedName>
    <definedName name="OSRRefE21_2x_0" localSheetId="89">'450'!$J$48</definedName>
    <definedName name="OSRRefE21_2x_0" localSheetId="72">'491'!$J$48</definedName>
    <definedName name="OSRRefE21_2x_0" localSheetId="85">'492'!$J$48</definedName>
    <definedName name="OSRRefE21_2x_0" localSheetId="91">'501'!$J$42</definedName>
    <definedName name="OSRRefE21_2x_0" localSheetId="39">'Div 2'!$J$42</definedName>
    <definedName name="OSRRefE21_2x_0" localSheetId="47">'Div 3'!$J$79</definedName>
    <definedName name="OSRRefE21_2x_0" localSheetId="70">'Div 4'!$J$50</definedName>
    <definedName name="OSRRefE21_2x_0" localSheetId="90">'Div 5'!$J$42</definedName>
    <definedName name="OSRRefE21_2x_0" localSheetId="61">'Div 6'!$J$56</definedName>
    <definedName name="OSRRefE21_2x_0" localSheetId="2">Summary!$J$87</definedName>
    <definedName name="OSRRefE21_2x_1" localSheetId="40">'200'!$K$23</definedName>
    <definedName name="OSRRefE21_2x_1" localSheetId="41">'201'!$K$40</definedName>
    <definedName name="OSRRefE21_2x_1" localSheetId="42">'202'!$K$40</definedName>
    <definedName name="OSRRefE21_2x_1" localSheetId="43">'203'!$K$41</definedName>
    <definedName name="OSRRefE21_2x_1" localSheetId="44">'204'!$K$40:$K$41</definedName>
    <definedName name="OSRRefE21_2x_1" localSheetId="45">'205'!$K$40</definedName>
    <definedName name="OSRRefE21_2x_1" localSheetId="46">'206'!$K$40</definedName>
    <definedName name="OSRRefE21_2x_1" localSheetId="48">'300'!$K$75</definedName>
    <definedName name="OSRRefE21_2x_1" localSheetId="49">'300 &amp; 317'!$K$81</definedName>
    <definedName name="OSRRefE21_2x_1" localSheetId="50">'301'!$K$42</definedName>
    <definedName name="OSRRefE21_2x_1" localSheetId="52">'307'!$K$53</definedName>
    <definedName name="OSRRefE21_2x_1" localSheetId="53">'308'!$K$56</definedName>
    <definedName name="OSRRefE21_2x_1" localSheetId="64">'309'!$K$23</definedName>
    <definedName name="OSRRefE21_2x_1" localSheetId="63">'310'!$K$47</definedName>
    <definedName name="OSRRefE21_2x_1" localSheetId="71">'310 &amp; 491'!$K$49</definedName>
    <definedName name="OSRRefE21_2x_1" localSheetId="54">'311'!$K$56</definedName>
    <definedName name="OSRRefE21_2x_1" localSheetId="65">'313'!$K$23</definedName>
    <definedName name="OSRRefE21_2x_1" localSheetId="57">'315'!$K$64</definedName>
    <definedName name="OSRRefE21_2x_1" localSheetId="60">'316'!$K$47</definedName>
    <definedName name="OSRRefE21_2x_1" localSheetId="62">'317'!$K$56</definedName>
    <definedName name="OSRRefE21_2x_1" localSheetId="66">'321'!$K$44</definedName>
    <definedName name="OSRRefE21_2x_1" localSheetId="68">'325'!$K$45</definedName>
    <definedName name="OSRRefE21_2x_1" localSheetId="58">'326'!$K$48</definedName>
    <definedName name="OSRRefE21_2x_1" localSheetId="51">'330'!$K$53</definedName>
    <definedName name="OSRRefE21_2x_1" localSheetId="56">'331'!$K$64</definedName>
    <definedName name="OSRRefE21_2x_1" localSheetId="59">'332'!$K$47</definedName>
    <definedName name="OSRRefE21_2x_1" localSheetId="73">'405'!$K$47</definedName>
    <definedName name="OSRRefE21_2x_1" localSheetId="75">'411'!$K$40</definedName>
    <definedName name="OSRRefE21_2x_1" localSheetId="76">'412'!$K$23</definedName>
    <definedName name="OSRRefE21_2x_1" localSheetId="79">'415'!$K$47</definedName>
    <definedName name="OSRRefE21_2x_1" localSheetId="80">'418'!$K$44</definedName>
    <definedName name="OSRRefE21_2x_1" localSheetId="81">'423'!$K$39</definedName>
    <definedName name="OSRRefE21_2x_1" localSheetId="84">'425'!$K$25</definedName>
    <definedName name="OSRRefE21_2x_1" localSheetId="86">'430'!$K$40</definedName>
    <definedName name="OSRRefE21_2x_1" localSheetId="87">'433'!$K$48</definedName>
    <definedName name="OSRRefE21_2x_1" localSheetId="88">'444'!$K$48</definedName>
    <definedName name="OSRRefE21_2x_1" localSheetId="89">'450'!$K$48</definedName>
    <definedName name="OSRRefE21_2x_1" localSheetId="72">'491'!$K$48</definedName>
    <definedName name="OSRRefE21_2x_1" localSheetId="85">'492'!$K$48</definedName>
    <definedName name="OSRRefE21_2x_1" localSheetId="91">'501'!$K$42</definedName>
    <definedName name="OSRRefE21_2x_1" localSheetId="39">'Div 2'!$K$42</definedName>
    <definedName name="OSRRefE21_2x_1" localSheetId="47">'Div 3'!$K$79</definedName>
    <definedName name="OSRRefE21_2x_1" localSheetId="70">'Div 4'!$K$50</definedName>
    <definedName name="OSRRefE21_2x_1" localSheetId="90">'Div 5'!$K$42</definedName>
    <definedName name="OSRRefE21_2x_1" localSheetId="61">'Div 6'!$K$56</definedName>
    <definedName name="OSRRefE21_2x_1" localSheetId="2">Summary!$K$87</definedName>
    <definedName name="OSRRefE21_2x_2" localSheetId="40">'200'!$L$23</definedName>
    <definedName name="OSRRefE21_2x_2" localSheetId="41">'201'!$L$40</definedName>
    <definedName name="OSRRefE21_2x_2" localSheetId="42">'202'!$L$40</definedName>
    <definedName name="OSRRefE21_2x_2" localSheetId="43">'203'!$L$41</definedName>
    <definedName name="OSRRefE21_2x_2" localSheetId="44">'204'!$L$40:$L$41</definedName>
    <definedName name="OSRRefE21_2x_2" localSheetId="45">'205'!$L$40</definedName>
    <definedName name="OSRRefE21_2x_2" localSheetId="46">'206'!$L$40</definedName>
    <definedName name="OSRRefE21_2x_2" localSheetId="48">'300'!$L$75</definedName>
    <definedName name="OSRRefE21_2x_2" localSheetId="49">'300 &amp; 317'!$L$81</definedName>
    <definedName name="OSRRefE21_2x_2" localSheetId="50">'301'!$L$42</definedName>
    <definedName name="OSRRefE21_2x_2" localSheetId="52">'307'!$L$53</definedName>
    <definedName name="OSRRefE21_2x_2" localSheetId="53">'308'!$L$56</definedName>
    <definedName name="OSRRefE21_2x_2" localSheetId="64">'309'!$L$23</definedName>
    <definedName name="OSRRefE21_2x_2" localSheetId="63">'310'!$L$47</definedName>
    <definedName name="OSRRefE21_2x_2" localSheetId="71">'310 &amp; 491'!$L$49</definedName>
    <definedName name="OSRRefE21_2x_2" localSheetId="54">'311'!$L$56</definedName>
    <definedName name="OSRRefE21_2x_2" localSheetId="65">'313'!$L$23</definedName>
    <definedName name="OSRRefE21_2x_2" localSheetId="57">'315'!$L$64</definedName>
    <definedName name="OSRRefE21_2x_2" localSheetId="60">'316'!$L$47</definedName>
    <definedName name="OSRRefE21_2x_2" localSheetId="62">'317'!$L$56</definedName>
    <definedName name="OSRRefE21_2x_2" localSheetId="66">'321'!$L$44</definedName>
    <definedName name="OSRRefE21_2x_2" localSheetId="68">'325'!$L$45</definedName>
    <definedName name="OSRRefE21_2x_2" localSheetId="58">'326'!$L$48</definedName>
    <definedName name="OSRRefE21_2x_2" localSheetId="51">'330'!$L$53</definedName>
    <definedName name="OSRRefE21_2x_2" localSheetId="56">'331'!$L$64</definedName>
    <definedName name="OSRRefE21_2x_2" localSheetId="59">'332'!$L$47</definedName>
    <definedName name="OSRRefE21_2x_2" localSheetId="73">'405'!$L$47</definedName>
    <definedName name="OSRRefE21_2x_2" localSheetId="75">'411'!$L$40</definedName>
    <definedName name="OSRRefE21_2x_2" localSheetId="76">'412'!$L$23</definedName>
    <definedName name="OSRRefE21_2x_2" localSheetId="79">'415'!$L$47</definedName>
    <definedName name="OSRRefE21_2x_2" localSheetId="80">'418'!$L$44</definedName>
    <definedName name="OSRRefE21_2x_2" localSheetId="81">'423'!$L$39</definedName>
    <definedName name="OSRRefE21_2x_2" localSheetId="84">'425'!$L$25</definedName>
    <definedName name="OSRRefE21_2x_2" localSheetId="86">'430'!$L$40</definedName>
    <definedName name="OSRRefE21_2x_2" localSheetId="87">'433'!$L$48</definedName>
    <definedName name="OSRRefE21_2x_2" localSheetId="88">'444'!$L$48</definedName>
    <definedName name="OSRRefE21_2x_2" localSheetId="89">'450'!$L$48</definedName>
    <definedName name="OSRRefE21_2x_2" localSheetId="72">'491'!$L$48</definedName>
    <definedName name="OSRRefE21_2x_2" localSheetId="85">'492'!$L$48</definedName>
    <definedName name="OSRRefE21_2x_2" localSheetId="91">'501'!$L$42</definedName>
    <definedName name="OSRRefE21_2x_2" localSheetId="39">'Div 2'!$L$42</definedName>
    <definedName name="OSRRefE21_2x_2" localSheetId="47">'Div 3'!$L$79</definedName>
    <definedName name="OSRRefE21_2x_2" localSheetId="70">'Div 4'!$L$50</definedName>
    <definedName name="OSRRefE21_2x_2" localSheetId="90">'Div 5'!$L$42</definedName>
    <definedName name="OSRRefE21_2x_2" localSheetId="61">'Div 6'!$L$56</definedName>
    <definedName name="OSRRefE21_2x_2" localSheetId="2">Summary!$L$87</definedName>
    <definedName name="OSRRefE21_2x_3" localSheetId="40">'200'!$M$23</definedName>
    <definedName name="OSRRefE21_2x_3" localSheetId="41">'201'!$M$40</definedName>
    <definedName name="OSRRefE21_2x_3" localSheetId="42">'202'!$M$40</definedName>
    <definedName name="OSRRefE21_2x_3" localSheetId="43">'203'!$M$41</definedName>
    <definedName name="OSRRefE21_2x_3" localSheetId="44">'204'!$M$40:$M$41</definedName>
    <definedName name="OSRRefE21_2x_3" localSheetId="45">'205'!$M$40</definedName>
    <definedName name="OSRRefE21_2x_3" localSheetId="46">'206'!$M$40</definedName>
    <definedName name="OSRRefE21_2x_3" localSheetId="48">'300'!$M$75</definedName>
    <definedName name="OSRRefE21_2x_3" localSheetId="49">'300 &amp; 317'!$M$81</definedName>
    <definedName name="OSRRefE21_2x_3" localSheetId="50">'301'!$M$42</definedName>
    <definedName name="OSRRefE21_2x_3" localSheetId="52">'307'!$M$53</definedName>
    <definedName name="OSRRefE21_2x_3" localSheetId="53">'308'!$M$56</definedName>
    <definedName name="OSRRefE21_2x_3" localSheetId="64">'309'!$M$23</definedName>
    <definedName name="OSRRefE21_2x_3" localSheetId="63">'310'!$M$47</definedName>
    <definedName name="OSRRefE21_2x_3" localSheetId="71">'310 &amp; 491'!$M$49</definedName>
    <definedName name="OSRRefE21_2x_3" localSheetId="54">'311'!$M$56</definedName>
    <definedName name="OSRRefE21_2x_3" localSheetId="65">'313'!$M$23</definedName>
    <definedName name="OSRRefE21_2x_3" localSheetId="57">'315'!$M$64</definedName>
    <definedName name="OSRRefE21_2x_3" localSheetId="60">'316'!$M$47</definedName>
    <definedName name="OSRRefE21_2x_3" localSheetId="62">'317'!$M$56</definedName>
    <definedName name="OSRRefE21_2x_3" localSheetId="66">'321'!$M$44</definedName>
    <definedName name="OSRRefE21_2x_3" localSheetId="68">'325'!$M$45</definedName>
    <definedName name="OSRRefE21_2x_3" localSheetId="58">'326'!$M$48</definedName>
    <definedName name="OSRRefE21_2x_3" localSheetId="51">'330'!$M$53</definedName>
    <definedName name="OSRRefE21_2x_3" localSheetId="56">'331'!$M$64</definedName>
    <definedName name="OSRRefE21_2x_3" localSheetId="59">'332'!$M$47</definedName>
    <definedName name="OSRRefE21_2x_3" localSheetId="73">'405'!$M$47</definedName>
    <definedName name="OSRRefE21_2x_3" localSheetId="75">'411'!$M$40</definedName>
    <definedName name="OSRRefE21_2x_3" localSheetId="76">'412'!$M$23</definedName>
    <definedName name="OSRRefE21_2x_3" localSheetId="79">'415'!$M$47</definedName>
    <definedName name="OSRRefE21_2x_3" localSheetId="80">'418'!$M$44</definedName>
    <definedName name="OSRRefE21_2x_3" localSheetId="81">'423'!$M$39</definedName>
    <definedName name="OSRRefE21_2x_3" localSheetId="84">'425'!$M$25</definedName>
    <definedName name="OSRRefE21_2x_3" localSheetId="86">'430'!$M$40</definedName>
    <definedName name="OSRRefE21_2x_3" localSheetId="87">'433'!$M$48</definedName>
    <definedName name="OSRRefE21_2x_3" localSheetId="88">'444'!$M$48</definedName>
    <definedName name="OSRRefE21_2x_3" localSheetId="89">'450'!$M$48</definedName>
    <definedName name="OSRRefE21_2x_3" localSheetId="72">'491'!$M$48</definedName>
    <definedName name="OSRRefE21_2x_3" localSheetId="85">'492'!$M$48</definedName>
    <definedName name="OSRRefE21_2x_3" localSheetId="91">'501'!$M$42</definedName>
    <definedName name="OSRRefE21_2x_3" localSheetId="39">'Div 2'!$M$42</definedName>
    <definedName name="OSRRefE21_2x_3" localSheetId="47">'Div 3'!$M$79</definedName>
    <definedName name="OSRRefE21_2x_3" localSheetId="70">'Div 4'!$M$50</definedName>
    <definedName name="OSRRefE21_2x_3" localSheetId="90">'Div 5'!$M$42</definedName>
    <definedName name="OSRRefE21_2x_3" localSheetId="61">'Div 6'!$M$56</definedName>
    <definedName name="OSRRefE21_2x_3" localSheetId="2">Summary!$M$87</definedName>
    <definedName name="OSRRefE21_2x_4" localSheetId="40">'200'!$N$23</definedName>
    <definedName name="OSRRefE21_2x_4" localSheetId="41">'201'!$N$40</definedName>
    <definedName name="OSRRefE21_2x_4" localSheetId="42">'202'!$N$40</definedName>
    <definedName name="OSRRefE21_2x_4" localSheetId="43">'203'!$N$41</definedName>
    <definedName name="OSRRefE21_2x_4" localSheetId="44">'204'!$N$40:$N$41</definedName>
    <definedName name="OSRRefE21_2x_4" localSheetId="45">'205'!$N$40</definedName>
    <definedName name="OSRRefE21_2x_4" localSheetId="46">'206'!$N$40</definedName>
    <definedName name="OSRRefE21_2x_4" localSheetId="48">'300'!$N$75</definedName>
    <definedName name="OSRRefE21_2x_4" localSheetId="49">'300 &amp; 317'!$N$81</definedName>
    <definedName name="OSRRefE21_2x_4" localSheetId="50">'301'!$N$42</definedName>
    <definedName name="OSRRefE21_2x_4" localSheetId="52">'307'!$N$53</definedName>
    <definedName name="OSRRefE21_2x_4" localSheetId="53">'308'!$N$56</definedName>
    <definedName name="OSRRefE21_2x_4" localSheetId="64">'309'!$N$23</definedName>
    <definedName name="OSRRefE21_2x_4" localSheetId="63">'310'!$N$47</definedName>
    <definedName name="OSRRefE21_2x_4" localSheetId="71">'310 &amp; 491'!$N$49</definedName>
    <definedName name="OSRRefE21_2x_4" localSheetId="54">'311'!$N$56</definedName>
    <definedName name="OSRRefE21_2x_4" localSheetId="65">'313'!$N$23</definedName>
    <definedName name="OSRRefE21_2x_4" localSheetId="57">'315'!$N$64</definedName>
    <definedName name="OSRRefE21_2x_4" localSheetId="60">'316'!$N$47</definedName>
    <definedName name="OSRRefE21_2x_4" localSheetId="62">'317'!$N$56</definedName>
    <definedName name="OSRRefE21_2x_4" localSheetId="66">'321'!$N$44</definedName>
    <definedName name="OSRRefE21_2x_4" localSheetId="68">'325'!$N$45</definedName>
    <definedName name="OSRRefE21_2x_4" localSheetId="58">'326'!$N$48</definedName>
    <definedName name="OSRRefE21_2x_4" localSheetId="51">'330'!$N$53</definedName>
    <definedName name="OSRRefE21_2x_4" localSheetId="56">'331'!$N$64</definedName>
    <definedName name="OSRRefE21_2x_4" localSheetId="59">'332'!$N$47</definedName>
    <definedName name="OSRRefE21_2x_4" localSheetId="73">'405'!$N$47</definedName>
    <definedName name="OSRRefE21_2x_4" localSheetId="75">'411'!$N$40</definedName>
    <definedName name="OSRRefE21_2x_4" localSheetId="76">'412'!$N$23</definedName>
    <definedName name="OSRRefE21_2x_4" localSheetId="79">'415'!$N$47</definedName>
    <definedName name="OSRRefE21_2x_4" localSheetId="80">'418'!$N$44</definedName>
    <definedName name="OSRRefE21_2x_4" localSheetId="81">'423'!$N$39</definedName>
    <definedName name="OSRRefE21_2x_4" localSheetId="84">'425'!$N$25</definedName>
    <definedName name="OSRRefE21_2x_4" localSheetId="86">'430'!$N$40</definedName>
    <definedName name="OSRRefE21_2x_4" localSheetId="87">'433'!$N$48</definedName>
    <definedName name="OSRRefE21_2x_4" localSheetId="88">'444'!$N$48</definedName>
    <definedName name="OSRRefE21_2x_4" localSheetId="89">'450'!$N$48</definedName>
    <definedName name="OSRRefE21_2x_4" localSheetId="72">'491'!$N$48</definedName>
    <definedName name="OSRRefE21_2x_4" localSheetId="85">'492'!$N$48</definedName>
    <definedName name="OSRRefE21_2x_4" localSheetId="91">'501'!$N$42</definedName>
    <definedName name="OSRRefE21_2x_4" localSheetId="39">'Div 2'!$N$42</definedName>
    <definedName name="OSRRefE21_2x_4" localSheetId="47">'Div 3'!$N$79</definedName>
    <definedName name="OSRRefE21_2x_4" localSheetId="70">'Div 4'!$N$50</definedName>
    <definedName name="OSRRefE21_2x_4" localSheetId="90">'Div 5'!$N$42</definedName>
    <definedName name="OSRRefE21_2x_4" localSheetId="61">'Div 6'!$N$56</definedName>
    <definedName name="OSRRefE21_2x_4" localSheetId="2">Summary!$N$87</definedName>
    <definedName name="OSRRefE21_2x_5" localSheetId="40">'200'!$O$23</definedName>
    <definedName name="OSRRefE21_2x_5" localSheetId="41">'201'!$O$40</definedName>
    <definedName name="OSRRefE21_2x_5" localSheetId="42">'202'!$O$40</definedName>
    <definedName name="OSRRefE21_2x_5" localSheetId="43">'203'!$O$41</definedName>
    <definedName name="OSRRefE21_2x_5" localSheetId="44">'204'!$O$40:$O$41</definedName>
    <definedName name="OSRRefE21_2x_5" localSheetId="45">'205'!$O$40</definedName>
    <definedName name="OSRRefE21_2x_5" localSheetId="46">'206'!$O$40</definedName>
    <definedName name="OSRRefE21_2x_5" localSheetId="48">'300'!$O$75</definedName>
    <definedName name="OSRRefE21_2x_5" localSheetId="49">'300 &amp; 317'!$O$81</definedName>
    <definedName name="OSRRefE21_2x_5" localSheetId="50">'301'!$O$42</definedName>
    <definedName name="OSRRefE21_2x_5" localSheetId="52">'307'!$O$53</definedName>
    <definedName name="OSRRefE21_2x_5" localSheetId="53">'308'!$O$56</definedName>
    <definedName name="OSRRefE21_2x_5" localSheetId="64">'309'!$O$23</definedName>
    <definedName name="OSRRefE21_2x_5" localSheetId="63">'310'!$O$47</definedName>
    <definedName name="OSRRefE21_2x_5" localSheetId="71">'310 &amp; 491'!$O$49</definedName>
    <definedName name="OSRRefE21_2x_5" localSheetId="54">'311'!$O$56</definedName>
    <definedName name="OSRRefE21_2x_5" localSheetId="65">'313'!$O$23</definedName>
    <definedName name="OSRRefE21_2x_5" localSheetId="57">'315'!$O$64</definedName>
    <definedName name="OSRRefE21_2x_5" localSheetId="60">'316'!$O$47</definedName>
    <definedName name="OSRRefE21_2x_5" localSheetId="62">'317'!$O$56</definedName>
    <definedName name="OSRRefE21_2x_5" localSheetId="66">'321'!$O$44</definedName>
    <definedName name="OSRRefE21_2x_5" localSheetId="68">'325'!$O$45</definedName>
    <definedName name="OSRRefE21_2x_5" localSheetId="58">'326'!$O$48</definedName>
    <definedName name="OSRRefE21_2x_5" localSheetId="51">'330'!$O$53</definedName>
    <definedName name="OSRRefE21_2x_5" localSheetId="56">'331'!$O$64</definedName>
    <definedName name="OSRRefE21_2x_5" localSheetId="59">'332'!$O$47</definedName>
    <definedName name="OSRRefE21_2x_5" localSheetId="73">'405'!$O$47</definedName>
    <definedName name="OSRRefE21_2x_5" localSheetId="75">'411'!$O$40</definedName>
    <definedName name="OSRRefE21_2x_5" localSheetId="76">'412'!$O$23</definedName>
    <definedName name="OSRRefE21_2x_5" localSheetId="79">'415'!$O$47</definedName>
    <definedName name="OSRRefE21_2x_5" localSheetId="80">'418'!$O$44</definedName>
    <definedName name="OSRRefE21_2x_5" localSheetId="81">'423'!$O$39</definedName>
    <definedName name="OSRRefE21_2x_5" localSheetId="84">'425'!$O$25</definedName>
    <definedName name="OSRRefE21_2x_5" localSheetId="86">'430'!$O$40</definedName>
    <definedName name="OSRRefE21_2x_5" localSheetId="87">'433'!$O$48</definedName>
    <definedName name="OSRRefE21_2x_5" localSheetId="88">'444'!$O$48</definedName>
    <definedName name="OSRRefE21_2x_5" localSheetId="89">'450'!$O$48</definedName>
    <definedName name="OSRRefE21_2x_5" localSheetId="72">'491'!$O$48</definedName>
    <definedName name="OSRRefE21_2x_5" localSheetId="85">'492'!$O$48</definedName>
    <definedName name="OSRRefE21_2x_5" localSheetId="91">'501'!$O$42</definedName>
    <definedName name="OSRRefE21_2x_5" localSheetId="39">'Div 2'!$O$42</definedName>
    <definedName name="OSRRefE21_2x_5" localSheetId="47">'Div 3'!$O$79</definedName>
    <definedName name="OSRRefE21_2x_5" localSheetId="70">'Div 4'!$O$50</definedName>
    <definedName name="OSRRefE21_2x_5" localSheetId="90">'Div 5'!$O$42</definedName>
    <definedName name="OSRRefE21_2x_5" localSheetId="61">'Div 6'!$O$56</definedName>
    <definedName name="OSRRefE21_2x_5" localSheetId="2">Summary!$O$87</definedName>
    <definedName name="OSRRefE21_3_0x" localSheetId="40">'200'!$J$25:$O$25</definedName>
    <definedName name="OSRRefE21_3_0x" localSheetId="41">'201'!$J$42:$O$42</definedName>
    <definedName name="OSRRefE21_3_0x" localSheetId="42">'202'!$J$42:$O$42</definedName>
    <definedName name="OSRRefE21_3_0x" localSheetId="43">'203'!$J$43:$O$43</definedName>
    <definedName name="OSRRefE21_3_0x" localSheetId="44">'204'!$J$43:$O$43</definedName>
    <definedName name="OSRRefE21_3_0x" localSheetId="45">'205'!$J$42:$O$42</definedName>
    <definedName name="OSRRefE21_3_0x" localSheetId="46">'206'!$J$42:$O$42</definedName>
    <definedName name="OSRRefE21_3_0x" localSheetId="48">'300'!$J$77:$O$77</definedName>
    <definedName name="OSRRefE21_3_0x" localSheetId="49">'300 &amp; 317'!$J$83:$O$83</definedName>
    <definedName name="OSRRefE21_3_0x" localSheetId="50">'301'!$J$44:$O$44</definedName>
    <definedName name="OSRRefE21_3_0x" localSheetId="52">'307'!$J$55:$O$55</definedName>
    <definedName name="OSRRefE21_3_0x" localSheetId="53">'308'!$J$58:$O$58</definedName>
    <definedName name="OSRRefE21_3_0x" localSheetId="64">'309'!$J$25:$O$25</definedName>
    <definedName name="OSRRefE21_3_0x" localSheetId="63">'310'!$J$49:$O$49</definedName>
    <definedName name="OSRRefE21_3_0x" localSheetId="71">'310 &amp; 491'!$J$51:$O$51</definedName>
    <definedName name="OSRRefE21_3_0x" localSheetId="54">'311'!$J$58:$O$58</definedName>
    <definedName name="OSRRefE21_3_0x" localSheetId="57">'315'!$J$66:$O$66</definedName>
    <definedName name="OSRRefE21_3_0x" localSheetId="60">'316'!$J$49:$O$49</definedName>
    <definedName name="OSRRefE21_3_0x" localSheetId="62">'317'!$J$58:$O$58</definedName>
    <definedName name="OSRRefE21_3_0x" localSheetId="66">'321'!$J$46:$O$46</definedName>
    <definedName name="OSRRefE21_3_0x" localSheetId="68">'325'!$J$47:$O$47</definedName>
    <definedName name="OSRRefE21_3_0x" localSheetId="58">'326'!$J$50:$O$50</definedName>
    <definedName name="OSRRefE21_3_0x" localSheetId="51">'330'!$J$55:$O$55</definedName>
    <definedName name="OSRRefE21_3_0x" localSheetId="56">'331'!$J$66:$O$66</definedName>
    <definedName name="OSRRefE21_3_0x" localSheetId="59">'332'!$J$49:$O$49</definedName>
    <definedName name="OSRRefE21_3_0x" localSheetId="73">'405'!$J$49:$O$49</definedName>
    <definedName name="OSRRefE21_3_0x" localSheetId="75">'411'!$J$42:$O$42</definedName>
    <definedName name="OSRRefE21_3_0x" localSheetId="79">'415'!$J$49:$O$49</definedName>
    <definedName name="OSRRefE21_3_0x" localSheetId="80">'418'!$J$46:$O$46</definedName>
    <definedName name="OSRRefE21_3_0x" localSheetId="81">'423'!$J$41:$O$41</definedName>
    <definedName name="OSRRefE21_3_0x" localSheetId="84">'425'!$J$27:$O$27</definedName>
    <definedName name="OSRRefE21_3_0x" localSheetId="86">'430'!$J$42:$O$42</definedName>
    <definedName name="OSRRefE21_3_0x" localSheetId="87">'433'!$J$50:$O$50</definedName>
    <definedName name="OSRRefE21_3_0x" localSheetId="88">'444'!$J$50:$O$50</definedName>
    <definedName name="OSRRefE21_3_0x" localSheetId="89">'450'!$J$50:$O$50</definedName>
    <definedName name="OSRRefE21_3_0x" localSheetId="72">'491'!$J$50:$O$50</definedName>
    <definedName name="OSRRefE21_3_0x" localSheetId="85">'492'!$J$50:$O$50</definedName>
    <definedName name="OSRRefE21_3_0x" localSheetId="91">'501'!$J$44:$O$44</definedName>
    <definedName name="OSRRefE21_3_0x" localSheetId="39">'Div 2'!$J$44:$O$44</definedName>
    <definedName name="OSRRefE21_3_0x" localSheetId="47">'Div 3'!$J$81:$O$81</definedName>
    <definedName name="OSRRefE21_3_0x" localSheetId="70">'Div 4'!$J$52:$O$52</definedName>
    <definedName name="OSRRefE21_3_0x" localSheetId="90">'Div 5'!$J$44:$O$44</definedName>
    <definedName name="OSRRefE21_3_0x" localSheetId="61">'Div 6'!$J$58:$O$58</definedName>
    <definedName name="OSRRefE21_3_0x" localSheetId="2">Summary!$J$89:$O$89</definedName>
    <definedName name="OSRRefE21_3_1x" localSheetId="40">'200'!$J$26:$O$26</definedName>
    <definedName name="OSRRefE21_3_1x" localSheetId="46">'206'!$J$43:$O$43</definedName>
    <definedName name="OSRRefE21_3_1x" localSheetId="75">'411'!$J$43:$O$43</definedName>
    <definedName name="OSRRefE21_3x_0" localSheetId="40">'200'!$J$25:$J$26</definedName>
    <definedName name="OSRRefE21_3x_0" localSheetId="41">'201'!$J$42</definedName>
    <definedName name="OSRRefE21_3x_0" localSheetId="42">'202'!$J$42</definedName>
    <definedName name="OSRRefE21_3x_0" localSheetId="43">'203'!$J$43</definedName>
    <definedName name="OSRRefE21_3x_0" localSheetId="44">'204'!$J$43</definedName>
    <definedName name="OSRRefE21_3x_0" localSheetId="45">'205'!$J$42</definedName>
    <definedName name="OSRRefE21_3x_0" localSheetId="46">'206'!$J$42:$J$43</definedName>
    <definedName name="OSRRefE21_3x_0" localSheetId="48">'300'!$J$77</definedName>
    <definedName name="OSRRefE21_3x_0" localSheetId="49">'300 &amp; 317'!$J$83</definedName>
    <definedName name="OSRRefE21_3x_0" localSheetId="50">'301'!$J$44</definedName>
    <definedName name="OSRRefE21_3x_0" localSheetId="52">'307'!$J$55</definedName>
    <definedName name="OSRRefE21_3x_0" localSheetId="53">'308'!$J$58</definedName>
    <definedName name="OSRRefE21_3x_0" localSheetId="64">'309'!$J$25</definedName>
    <definedName name="OSRRefE21_3x_0" localSheetId="63">'310'!$J$49</definedName>
    <definedName name="OSRRefE21_3x_0" localSheetId="71">'310 &amp; 491'!$J$51</definedName>
    <definedName name="OSRRefE21_3x_0" localSheetId="54">'311'!$J$58</definedName>
    <definedName name="OSRRefE21_3x_0" localSheetId="57">'315'!$J$66</definedName>
    <definedName name="OSRRefE21_3x_0" localSheetId="60">'316'!$J$49</definedName>
    <definedName name="OSRRefE21_3x_0" localSheetId="62">'317'!$J$58</definedName>
    <definedName name="OSRRefE21_3x_0" localSheetId="66">'321'!$J$46</definedName>
    <definedName name="OSRRefE21_3x_0" localSheetId="68">'325'!$J$47</definedName>
    <definedName name="OSRRefE21_3x_0" localSheetId="58">'326'!$J$50</definedName>
    <definedName name="OSRRefE21_3x_0" localSheetId="51">'330'!$J$55</definedName>
    <definedName name="OSRRefE21_3x_0" localSheetId="56">'331'!$J$66</definedName>
    <definedName name="OSRRefE21_3x_0" localSheetId="59">'332'!$J$49</definedName>
    <definedName name="OSRRefE21_3x_0" localSheetId="73">'405'!$J$49</definedName>
    <definedName name="OSRRefE21_3x_0" localSheetId="75">'411'!$J$42:$J$43</definedName>
    <definedName name="OSRRefE21_3x_0" localSheetId="79">'415'!$J$49</definedName>
    <definedName name="OSRRefE21_3x_0" localSheetId="80">'418'!$J$46</definedName>
    <definedName name="OSRRefE21_3x_0" localSheetId="81">'423'!$J$41</definedName>
    <definedName name="OSRRefE21_3x_0" localSheetId="84">'425'!$J$27</definedName>
    <definedName name="OSRRefE21_3x_0" localSheetId="86">'430'!$J$42</definedName>
    <definedName name="OSRRefE21_3x_0" localSheetId="87">'433'!$J$50</definedName>
    <definedName name="OSRRefE21_3x_0" localSheetId="88">'444'!$J$50</definedName>
    <definedName name="OSRRefE21_3x_0" localSheetId="89">'450'!$J$50</definedName>
    <definedName name="OSRRefE21_3x_0" localSheetId="72">'491'!$J$50</definedName>
    <definedName name="OSRRefE21_3x_0" localSheetId="85">'492'!$J$50</definedName>
    <definedName name="OSRRefE21_3x_0" localSheetId="91">'501'!$J$44</definedName>
    <definedName name="OSRRefE21_3x_0" localSheetId="39">'Div 2'!$J$44</definedName>
    <definedName name="OSRRefE21_3x_0" localSheetId="47">'Div 3'!$J$81</definedName>
    <definedName name="OSRRefE21_3x_0" localSheetId="70">'Div 4'!$J$52</definedName>
    <definedName name="OSRRefE21_3x_0" localSheetId="90">'Div 5'!$J$44</definedName>
    <definedName name="OSRRefE21_3x_0" localSheetId="61">'Div 6'!$J$58</definedName>
    <definedName name="OSRRefE21_3x_0" localSheetId="2">Summary!$J$89</definedName>
    <definedName name="OSRRefE21_3x_1" localSheetId="40">'200'!$K$25:$K$26</definedName>
    <definedName name="OSRRefE21_3x_1" localSheetId="41">'201'!$K$42</definedName>
    <definedName name="OSRRefE21_3x_1" localSheetId="42">'202'!$K$42</definedName>
    <definedName name="OSRRefE21_3x_1" localSheetId="43">'203'!$K$43</definedName>
    <definedName name="OSRRefE21_3x_1" localSheetId="44">'204'!$K$43</definedName>
    <definedName name="OSRRefE21_3x_1" localSheetId="45">'205'!$K$42</definedName>
    <definedName name="OSRRefE21_3x_1" localSheetId="46">'206'!$K$42:$K$43</definedName>
    <definedName name="OSRRefE21_3x_1" localSheetId="48">'300'!$K$77</definedName>
    <definedName name="OSRRefE21_3x_1" localSheetId="49">'300 &amp; 317'!$K$83</definedName>
    <definedName name="OSRRefE21_3x_1" localSheetId="50">'301'!$K$44</definedName>
    <definedName name="OSRRefE21_3x_1" localSheetId="52">'307'!$K$55</definedName>
    <definedName name="OSRRefE21_3x_1" localSheetId="53">'308'!$K$58</definedName>
    <definedName name="OSRRefE21_3x_1" localSheetId="64">'309'!$K$25</definedName>
    <definedName name="OSRRefE21_3x_1" localSheetId="63">'310'!$K$49</definedName>
    <definedName name="OSRRefE21_3x_1" localSheetId="71">'310 &amp; 491'!$K$51</definedName>
    <definedName name="OSRRefE21_3x_1" localSheetId="54">'311'!$K$58</definedName>
    <definedName name="OSRRefE21_3x_1" localSheetId="57">'315'!$K$66</definedName>
    <definedName name="OSRRefE21_3x_1" localSheetId="60">'316'!$K$49</definedName>
    <definedName name="OSRRefE21_3x_1" localSheetId="62">'317'!$K$58</definedName>
    <definedName name="OSRRefE21_3x_1" localSheetId="66">'321'!$K$46</definedName>
    <definedName name="OSRRefE21_3x_1" localSheetId="68">'325'!$K$47</definedName>
    <definedName name="OSRRefE21_3x_1" localSheetId="58">'326'!$K$50</definedName>
    <definedName name="OSRRefE21_3x_1" localSheetId="51">'330'!$K$55</definedName>
    <definedName name="OSRRefE21_3x_1" localSheetId="56">'331'!$K$66</definedName>
    <definedName name="OSRRefE21_3x_1" localSheetId="59">'332'!$K$49</definedName>
    <definedName name="OSRRefE21_3x_1" localSheetId="73">'405'!$K$49</definedName>
    <definedName name="OSRRefE21_3x_1" localSheetId="75">'411'!$K$42:$K$43</definedName>
    <definedName name="OSRRefE21_3x_1" localSheetId="79">'415'!$K$49</definedName>
    <definedName name="OSRRefE21_3x_1" localSheetId="80">'418'!$K$46</definedName>
    <definedName name="OSRRefE21_3x_1" localSheetId="81">'423'!$K$41</definedName>
    <definedName name="OSRRefE21_3x_1" localSheetId="84">'425'!$K$27</definedName>
    <definedName name="OSRRefE21_3x_1" localSheetId="86">'430'!$K$42</definedName>
    <definedName name="OSRRefE21_3x_1" localSheetId="87">'433'!$K$50</definedName>
    <definedName name="OSRRefE21_3x_1" localSheetId="88">'444'!$K$50</definedName>
    <definedName name="OSRRefE21_3x_1" localSheetId="89">'450'!$K$50</definedName>
    <definedName name="OSRRefE21_3x_1" localSheetId="72">'491'!$K$50</definedName>
    <definedName name="OSRRefE21_3x_1" localSheetId="85">'492'!$K$50</definedName>
    <definedName name="OSRRefE21_3x_1" localSheetId="91">'501'!$K$44</definedName>
    <definedName name="OSRRefE21_3x_1" localSheetId="39">'Div 2'!$K$44</definedName>
    <definedName name="OSRRefE21_3x_1" localSheetId="47">'Div 3'!$K$81</definedName>
    <definedName name="OSRRefE21_3x_1" localSheetId="70">'Div 4'!$K$52</definedName>
    <definedName name="OSRRefE21_3x_1" localSheetId="90">'Div 5'!$K$44</definedName>
    <definedName name="OSRRefE21_3x_1" localSheetId="61">'Div 6'!$K$58</definedName>
    <definedName name="OSRRefE21_3x_1" localSheetId="2">Summary!$K$89</definedName>
    <definedName name="OSRRefE21_3x_2" localSheetId="40">'200'!$L$25:$L$26</definedName>
    <definedName name="OSRRefE21_3x_2" localSheetId="41">'201'!$L$42</definedName>
    <definedName name="OSRRefE21_3x_2" localSheetId="42">'202'!$L$42</definedName>
    <definedName name="OSRRefE21_3x_2" localSheetId="43">'203'!$L$43</definedName>
    <definedName name="OSRRefE21_3x_2" localSheetId="44">'204'!$L$43</definedName>
    <definedName name="OSRRefE21_3x_2" localSheetId="45">'205'!$L$42</definedName>
    <definedName name="OSRRefE21_3x_2" localSheetId="46">'206'!$L$42:$L$43</definedName>
    <definedName name="OSRRefE21_3x_2" localSheetId="48">'300'!$L$77</definedName>
    <definedName name="OSRRefE21_3x_2" localSheetId="49">'300 &amp; 317'!$L$83</definedName>
    <definedName name="OSRRefE21_3x_2" localSheetId="50">'301'!$L$44</definedName>
    <definedName name="OSRRefE21_3x_2" localSheetId="52">'307'!$L$55</definedName>
    <definedName name="OSRRefE21_3x_2" localSheetId="53">'308'!$L$58</definedName>
    <definedName name="OSRRefE21_3x_2" localSheetId="64">'309'!$L$25</definedName>
    <definedName name="OSRRefE21_3x_2" localSheetId="63">'310'!$L$49</definedName>
    <definedName name="OSRRefE21_3x_2" localSheetId="71">'310 &amp; 491'!$L$51</definedName>
    <definedName name="OSRRefE21_3x_2" localSheetId="54">'311'!$L$58</definedName>
    <definedName name="OSRRefE21_3x_2" localSheetId="57">'315'!$L$66</definedName>
    <definedName name="OSRRefE21_3x_2" localSheetId="60">'316'!$L$49</definedName>
    <definedName name="OSRRefE21_3x_2" localSheetId="62">'317'!$L$58</definedName>
    <definedName name="OSRRefE21_3x_2" localSheetId="66">'321'!$L$46</definedName>
    <definedName name="OSRRefE21_3x_2" localSheetId="68">'325'!$L$47</definedName>
    <definedName name="OSRRefE21_3x_2" localSheetId="58">'326'!$L$50</definedName>
    <definedName name="OSRRefE21_3x_2" localSheetId="51">'330'!$L$55</definedName>
    <definedName name="OSRRefE21_3x_2" localSheetId="56">'331'!$L$66</definedName>
    <definedName name="OSRRefE21_3x_2" localSheetId="59">'332'!$L$49</definedName>
    <definedName name="OSRRefE21_3x_2" localSheetId="73">'405'!$L$49</definedName>
    <definedName name="OSRRefE21_3x_2" localSheetId="75">'411'!$L$42:$L$43</definedName>
    <definedName name="OSRRefE21_3x_2" localSheetId="79">'415'!$L$49</definedName>
    <definedName name="OSRRefE21_3x_2" localSheetId="80">'418'!$L$46</definedName>
    <definedName name="OSRRefE21_3x_2" localSheetId="81">'423'!$L$41</definedName>
    <definedName name="OSRRefE21_3x_2" localSheetId="84">'425'!$L$27</definedName>
    <definedName name="OSRRefE21_3x_2" localSheetId="86">'430'!$L$42</definedName>
    <definedName name="OSRRefE21_3x_2" localSheetId="87">'433'!$L$50</definedName>
    <definedName name="OSRRefE21_3x_2" localSheetId="88">'444'!$L$50</definedName>
    <definedName name="OSRRefE21_3x_2" localSheetId="89">'450'!$L$50</definedName>
    <definedName name="OSRRefE21_3x_2" localSheetId="72">'491'!$L$50</definedName>
    <definedName name="OSRRefE21_3x_2" localSheetId="85">'492'!$L$50</definedName>
    <definedName name="OSRRefE21_3x_2" localSheetId="91">'501'!$L$44</definedName>
    <definedName name="OSRRefE21_3x_2" localSheetId="39">'Div 2'!$L$44</definedName>
    <definedName name="OSRRefE21_3x_2" localSheetId="47">'Div 3'!$L$81</definedName>
    <definedName name="OSRRefE21_3x_2" localSheetId="70">'Div 4'!$L$52</definedName>
    <definedName name="OSRRefE21_3x_2" localSheetId="90">'Div 5'!$L$44</definedName>
    <definedName name="OSRRefE21_3x_2" localSheetId="61">'Div 6'!$L$58</definedName>
    <definedName name="OSRRefE21_3x_2" localSheetId="2">Summary!$L$89</definedName>
    <definedName name="OSRRefE21_3x_3" localSheetId="40">'200'!$M$25:$M$26</definedName>
    <definedName name="OSRRefE21_3x_3" localSheetId="41">'201'!$M$42</definedName>
    <definedName name="OSRRefE21_3x_3" localSheetId="42">'202'!$M$42</definedName>
    <definedName name="OSRRefE21_3x_3" localSheetId="43">'203'!$M$43</definedName>
    <definedName name="OSRRefE21_3x_3" localSheetId="44">'204'!$M$43</definedName>
    <definedName name="OSRRefE21_3x_3" localSheetId="45">'205'!$M$42</definedName>
    <definedName name="OSRRefE21_3x_3" localSheetId="46">'206'!$M$42:$M$43</definedName>
    <definedName name="OSRRefE21_3x_3" localSheetId="48">'300'!$M$77</definedName>
    <definedName name="OSRRefE21_3x_3" localSheetId="49">'300 &amp; 317'!$M$83</definedName>
    <definedName name="OSRRefE21_3x_3" localSheetId="50">'301'!$M$44</definedName>
    <definedName name="OSRRefE21_3x_3" localSheetId="52">'307'!$M$55</definedName>
    <definedName name="OSRRefE21_3x_3" localSheetId="53">'308'!$M$58</definedName>
    <definedName name="OSRRefE21_3x_3" localSheetId="64">'309'!$M$25</definedName>
    <definedName name="OSRRefE21_3x_3" localSheetId="63">'310'!$M$49</definedName>
    <definedName name="OSRRefE21_3x_3" localSheetId="71">'310 &amp; 491'!$M$51</definedName>
    <definedName name="OSRRefE21_3x_3" localSheetId="54">'311'!$M$58</definedName>
    <definedName name="OSRRefE21_3x_3" localSheetId="57">'315'!$M$66</definedName>
    <definedName name="OSRRefE21_3x_3" localSheetId="60">'316'!$M$49</definedName>
    <definedName name="OSRRefE21_3x_3" localSheetId="62">'317'!$M$58</definedName>
    <definedName name="OSRRefE21_3x_3" localSheetId="66">'321'!$M$46</definedName>
    <definedName name="OSRRefE21_3x_3" localSheetId="68">'325'!$M$47</definedName>
    <definedName name="OSRRefE21_3x_3" localSheetId="58">'326'!$M$50</definedName>
    <definedName name="OSRRefE21_3x_3" localSheetId="51">'330'!$M$55</definedName>
    <definedName name="OSRRefE21_3x_3" localSheetId="56">'331'!$M$66</definedName>
    <definedName name="OSRRefE21_3x_3" localSheetId="59">'332'!$M$49</definedName>
    <definedName name="OSRRefE21_3x_3" localSheetId="73">'405'!$M$49</definedName>
    <definedName name="OSRRefE21_3x_3" localSheetId="75">'411'!$M$42:$M$43</definedName>
    <definedName name="OSRRefE21_3x_3" localSheetId="79">'415'!$M$49</definedName>
    <definedName name="OSRRefE21_3x_3" localSheetId="80">'418'!$M$46</definedName>
    <definedName name="OSRRefE21_3x_3" localSheetId="81">'423'!$M$41</definedName>
    <definedName name="OSRRefE21_3x_3" localSheetId="84">'425'!$M$27</definedName>
    <definedName name="OSRRefE21_3x_3" localSheetId="86">'430'!$M$42</definedName>
    <definedName name="OSRRefE21_3x_3" localSheetId="87">'433'!$M$50</definedName>
    <definedName name="OSRRefE21_3x_3" localSheetId="88">'444'!$M$50</definedName>
    <definedName name="OSRRefE21_3x_3" localSheetId="89">'450'!$M$50</definedName>
    <definedName name="OSRRefE21_3x_3" localSheetId="72">'491'!$M$50</definedName>
    <definedName name="OSRRefE21_3x_3" localSheetId="85">'492'!$M$50</definedName>
    <definedName name="OSRRefE21_3x_3" localSheetId="91">'501'!$M$44</definedName>
    <definedName name="OSRRefE21_3x_3" localSheetId="39">'Div 2'!$M$44</definedName>
    <definedName name="OSRRefE21_3x_3" localSheetId="47">'Div 3'!$M$81</definedName>
    <definedName name="OSRRefE21_3x_3" localSheetId="70">'Div 4'!$M$52</definedName>
    <definedName name="OSRRefE21_3x_3" localSheetId="90">'Div 5'!$M$44</definedName>
    <definedName name="OSRRefE21_3x_3" localSheetId="61">'Div 6'!$M$58</definedName>
    <definedName name="OSRRefE21_3x_3" localSheetId="2">Summary!$M$89</definedName>
    <definedName name="OSRRefE21_3x_4" localSheetId="40">'200'!$N$25:$N$26</definedName>
    <definedName name="OSRRefE21_3x_4" localSheetId="41">'201'!$N$42</definedName>
    <definedName name="OSRRefE21_3x_4" localSheetId="42">'202'!$N$42</definedName>
    <definedName name="OSRRefE21_3x_4" localSheetId="43">'203'!$N$43</definedName>
    <definedName name="OSRRefE21_3x_4" localSheetId="44">'204'!$N$43</definedName>
    <definedName name="OSRRefE21_3x_4" localSheetId="45">'205'!$N$42</definedName>
    <definedName name="OSRRefE21_3x_4" localSheetId="46">'206'!$N$42:$N$43</definedName>
    <definedName name="OSRRefE21_3x_4" localSheetId="48">'300'!$N$77</definedName>
    <definedName name="OSRRefE21_3x_4" localSheetId="49">'300 &amp; 317'!$N$83</definedName>
    <definedName name="OSRRefE21_3x_4" localSheetId="50">'301'!$N$44</definedName>
    <definedName name="OSRRefE21_3x_4" localSheetId="52">'307'!$N$55</definedName>
    <definedName name="OSRRefE21_3x_4" localSheetId="53">'308'!$N$58</definedName>
    <definedName name="OSRRefE21_3x_4" localSheetId="64">'309'!$N$25</definedName>
    <definedName name="OSRRefE21_3x_4" localSheetId="63">'310'!$N$49</definedName>
    <definedName name="OSRRefE21_3x_4" localSheetId="71">'310 &amp; 491'!$N$51</definedName>
    <definedName name="OSRRefE21_3x_4" localSheetId="54">'311'!$N$58</definedName>
    <definedName name="OSRRefE21_3x_4" localSheetId="57">'315'!$N$66</definedName>
    <definedName name="OSRRefE21_3x_4" localSheetId="60">'316'!$N$49</definedName>
    <definedName name="OSRRefE21_3x_4" localSheetId="62">'317'!$N$58</definedName>
    <definedName name="OSRRefE21_3x_4" localSheetId="66">'321'!$N$46</definedName>
    <definedName name="OSRRefE21_3x_4" localSheetId="68">'325'!$N$47</definedName>
    <definedName name="OSRRefE21_3x_4" localSheetId="58">'326'!$N$50</definedName>
    <definedName name="OSRRefE21_3x_4" localSheetId="51">'330'!$N$55</definedName>
    <definedName name="OSRRefE21_3x_4" localSheetId="56">'331'!$N$66</definedName>
    <definedName name="OSRRefE21_3x_4" localSheetId="59">'332'!$N$49</definedName>
    <definedName name="OSRRefE21_3x_4" localSheetId="73">'405'!$N$49</definedName>
    <definedName name="OSRRefE21_3x_4" localSheetId="75">'411'!$N$42:$N$43</definedName>
    <definedName name="OSRRefE21_3x_4" localSheetId="79">'415'!$N$49</definedName>
    <definedName name="OSRRefE21_3x_4" localSheetId="80">'418'!$N$46</definedName>
    <definedName name="OSRRefE21_3x_4" localSheetId="81">'423'!$N$41</definedName>
    <definedName name="OSRRefE21_3x_4" localSheetId="84">'425'!$N$27</definedName>
    <definedName name="OSRRefE21_3x_4" localSheetId="86">'430'!$N$42</definedName>
    <definedName name="OSRRefE21_3x_4" localSheetId="87">'433'!$N$50</definedName>
    <definedName name="OSRRefE21_3x_4" localSheetId="88">'444'!$N$50</definedName>
    <definedName name="OSRRefE21_3x_4" localSheetId="89">'450'!$N$50</definedName>
    <definedName name="OSRRefE21_3x_4" localSheetId="72">'491'!$N$50</definedName>
    <definedName name="OSRRefE21_3x_4" localSheetId="85">'492'!$N$50</definedName>
    <definedName name="OSRRefE21_3x_4" localSheetId="91">'501'!$N$44</definedName>
    <definedName name="OSRRefE21_3x_4" localSheetId="39">'Div 2'!$N$44</definedName>
    <definedName name="OSRRefE21_3x_4" localSheetId="47">'Div 3'!$N$81</definedName>
    <definedName name="OSRRefE21_3x_4" localSheetId="70">'Div 4'!$N$52</definedName>
    <definedName name="OSRRefE21_3x_4" localSheetId="90">'Div 5'!$N$44</definedName>
    <definedName name="OSRRefE21_3x_4" localSheetId="61">'Div 6'!$N$58</definedName>
    <definedName name="OSRRefE21_3x_4" localSheetId="2">Summary!$N$89</definedName>
    <definedName name="OSRRefE21_3x_5" localSheetId="40">'200'!$O$25:$O$26</definedName>
    <definedName name="OSRRefE21_3x_5" localSheetId="41">'201'!$O$42</definedName>
    <definedName name="OSRRefE21_3x_5" localSheetId="42">'202'!$O$42</definedName>
    <definedName name="OSRRefE21_3x_5" localSheetId="43">'203'!$O$43</definedName>
    <definedName name="OSRRefE21_3x_5" localSheetId="44">'204'!$O$43</definedName>
    <definedName name="OSRRefE21_3x_5" localSheetId="45">'205'!$O$42</definedName>
    <definedName name="OSRRefE21_3x_5" localSheetId="46">'206'!$O$42:$O$43</definedName>
    <definedName name="OSRRefE21_3x_5" localSheetId="48">'300'!$O$77</definedName>
    <definedName name="OSRRefE21_3x_5" localSheetId="49">'300 &amp; 317'!$O$83</definedName>
    <definedName name="OSRRefE21_3x_5" localSheetId="50">'301'!$O$44</definedName>
    <definedName name="OSRRefE21_3x_5" localSheetId="52">'307'!$O$55</definedName>
    <definedName name="OSRRefE21_3x_5" localSheetId="53">'308'!$O$58</definedName>
    <definedName name="OSRRefE21_3x_5" localSheetId="64">'309'!$O$25</definedName>
    <definedName name="OSRRefE21_3x_5" localSheetId="63">'310'!$O$49</definedName>
    <definedName name="OSRRefE21_3x_5" localSheetId="71">'310 &amp; 491'!$O$51</definedName>
    <definedName name="OSRRefE21_3x_5" localSheetId="54">'311'!$O$58</definedName>
    <definedName name="OSRRefE21_3x_5" localSheetId="57">'315'!$O$66</definedName>
    <definedName name="OSRRefE21_3x_5" localSheetId="60">'316'!$O$49</definedName>
    <definedName name="OSRRefE21_3x_5" localSheetId="62">'317'!$O$58</definedName>
    <definedName name="OSRRefE21_3x_5" localSheetId="66">'321'!$O$46</definedName>
    <definedName name="OSRRefE21_3x_5" localSheetId="68">'325'!$O$47</definedName>
    <definedName name="OSRRefE21_3x_5" localSheetId="58">'326'!$O$50</definedName>
    <definedName name="OSRRefE21_3x_5" localSheetId="51">'330'!$O$55</definedName>
    <definedName name="OSRRefE21_3x_5" localSheetId="56">'331'!$O$66</definedName>
    <definedName name="OSRRefE21_3x_5" localSheetId="59">'332'!$O$49</definedName>
    <definedName name="OSRRefE21_3x_5" localSheetId="73">'405'!$O$49</definedName>
    <definedName name="OSRRefE21_3x_5" localSheetId="75">'411'!$O$42:$O$43</definedName>
    <definedName name="OSRRefE21_3x_5" localSheetId="79">'415'!$O$49</definedName>
    <definedName name="OSRRefE21_3x_5" localSheetId="80">'418'!$O$46</definedName>
    <definedName name="OSRRefE21_3x_5" localSheetId="81">'423'!$O$41</definedName>
    <definedName name="OSRRefE21_3x_5" localSheetId="84">'425'!$O$27</definedName>
    <definedName name="OSRRefE21_3x_5" localSheetId="86">'430'!$O$42</definedName>
    <definedName name="OSRRefE21_3x_5" localSheetId="87">'433'!$O$50</definedName>
    <definedName name="OSRRefE21_3x_5" localSheetId="88">'444'!$O$50</definedName>
    <definedName name="OSRRefE21_3x_5" localSheetId="89">'450'!$O$50</definedName>
    <definedName name="OSRRefE21_3x_5" localSheetId="72">'491'!$O$50</definedName>
    <definedName name="OSRRefE21_3x_5" localSheetId="85">'492'!$O$50</definedName>
    <definedName name="OSRRefE21_3x_5" localSheetId="91">'501'!$O$44</definedName>
    <definedName name="OSRRefE21_3x_5" localSheetId="39">'Div 2'!$O$44</definedName>
    <definedName name="OSRRefE21_3x_5" localSheetId="47">'Div 3'!$O$81</definedName>
    <definedName name="OSRRefE21_3x_5" localSheetId="70">'Div 4'!$O$52</definedName>
    <definedName name="OSRRefE21_3x_5" localSheetId="90">'Div 5'!$O$44</definedName>
    <definedName name="OSRRefE21_3x_5" localSheetId="61">'Div 6'!$O$58</definedName>
    <definedName name="OSRRefE21_3x_5" localSheetId="2">Summary!$O$89</definedName>
    <definedName name="OSRRefE21_4_0x" localSheetId="41">'201'!$J$44:$O$44</definedName>
    <definedName name="OSRRefE21_4_0x" localSheetId="42">'202'!$J$44:$O$44</definedName>
    <definedName name="OSRRefE21_4_0x" localSheetId="43">'203'!$J$45:$O$45</definedName>
    <definedName name="OSRRefE21_4_0x" localSheetId="44">'204'!$J$45:$O$45</definedName>
    <definedName name="OSRRefE21_4_0x" localSheetId="45">'205'!$J$44:$O$44</definedName>
    <definedName name="OSRRefE21_4_0x" localSheetId="46">'206'!$J$45:$O$45</definedName>
    <definedName name="OSRRefE21_4_0x" localSheetId="48">'300'!$J$79:$O$79</definedName>
    <definedName name="OSRRefE21_4_0x" localSheetId="49">'300 &amp; 317'!$J$85:$O$85</definedName>
    <definedName name="OSRRefE21_4_0x" localSheetId="50">'301'!$J$46:$O$46</definedName>
    <definedName name="OSRRefE21_4_0x" localSheetId="52">'307'!$J$57:$O$57</definedName>
    <definedName name="OSRRefE21_4_0x" localSheetId="53">'308'!$J$60:$O$60</definedName>
    <definedName name="OSRRefE21_4_0x" localSheetId="64">'309'!$J$27:$O$27</definedName>
    <definedName name="OSRRefE21_4_0x" localSheetId="63">'310'!$J$51:$O$51</definedName>
    <definedName name="OSRRefE21_4_0x" localSheetId="71">'310 &amp; 491'!$J$53:$O$53</definedName>
    <definedName name="OSRRefE21_4_0x" localSheetId="54">'311'!$J$60:$O$60</definedName>
    <definedName name="OSRRefE21_4_0x" localSheetId="57">'315'!$J$68:$O$68</definedName>
    <definedName name="OSRRefE21_4_0x" localSheetId="60">'316'!$J$51:$O$51</definedName>
    <definedName name="OSRRefE21_4_0x" localSheetId="62">'317'!$J$60:$O$60</definedName>
    <definedName name="OSRRefE21_4_0x" localSheetId="66">'321'!$J$48:$O$48</definedName>
    <definedName name="OSRRefE21_4_0x" localSheetId="68">'325'!$J$49:$O$49</definedName>
    <definedName name="OSRRefE21_4_0x" localSheetId="58">'326'!$J$52:$O$52</definedName>
    <definedName name="OSRRefE21_4_0x" localSheetId="51">'330'!$J$57:$O$57</definedName>
    <definedName name="OSRRefE21_4_0x" localSheetId="56">'331'!$J$68:$O$68</definedName>
    <definedName name="OSRRefE21_4_0x" localSheetId="59">'332'!$J$51:$O$51</definedName>
    <definedName name="OSRRefE21_4_0x" localSheetId="73">'405'!$J$51:$O$51</definedName>
    <definedName name="OSRRefE21_4_0x" localSheetId="75">'411'!$J$45:$O$45</definedName>
    <definedName name="OSRRefE21_4_0x" localSheetId="79">'415'!$J$51:$O$51</definedName>
    <definedName name="OSRRefE21_4_0x" localSheetId="80">'418'!$J$48:$O$48</definedName>
    <definedName name="OSRRefE21_4_0x" localSheetId="81">'423'!$J$43:$O$43</definedName>
    <definedName name="OSRRefE21_4_0x" localSheetId="84">'425'!$J$29:$O$29</definedName>
    <definedName name="OSRRefE21_4_0x" localSheetId="86">'430'!$J$44:$O$44</definedName>
    <definedName name="OSRRefE21_4_0x" localSheetId="87">'433'!$J$52:$O$52</definedName>
    <definedName name="OSRRefE21_4_0x" localSheetId="88">'444'!$J$52:$O$52</definedName>
    <definedName name="OSRRefE21_4_0x" localSheetId="89">'450'!$J$52:$O$52</definedName>
    <definedName name="OSRRefE21_4_0x" localSheetId="72">'491'!$J$52:$O$52</definedName>
    <definedName name="OSRRefE21_4_0x" localSheetId="85">'492'!$J$52:$O$52</definedName>
    <definedName name="OSRRefE21_4_0x" localSheetId="91">'501'!$J$46:$O$46</definedName>
    <definedName name="OSRRefE21_4_0x" localSheetId="39">'Div 2'!$J$46:$O$46</definedName>
    <definedName name="OSRRefE21_4_0x" localSheetId="47">'Div 3'!$J$83:$O$83</definedName>
    <definedName name="OSRRefE21_4_0x" localSheetId="70">'Div 4'!$J$54:$O$54</definedName>
    <definedName name="OSRRefE21_4_0x" localSheetId="90">'Div 5'!$J$46:$O$46</definedName>
    <definedName name="OSRRefE21_4_0x" localSheetId="61">'Div 6'!$J$60:$O$60</definedName>
    <definedName name="OSRRefE21_4_0x" localSheetId="2">Summary!$J$91:$O$91</definedName>
    <definedName name="OSRRefE21_4_1x" localSheetId="44">'204'!$J$46:$O$46</definedName>
    <definedName name="OSRRefE21_4_1x" localSheetId="45">'205'!$J$45:$O$45</definedName>
    <definedName name="OSRRefE21_4_1x" localSheetId="64">'309'!$J$28:$O$28</definedName>
    <definedName name="OSRRefE21_4_1x" localSheetId="80">'418'!$J$49:$O$49</definedName>
    <definedName name="OSRRefE21_4_2x" localSheetId="44">'204'!$J$47:$O$47</definedName>
    <definedName name="OSRRefE21_4_2x" localSheetId="45">'205'!$J$46:$O$46</definedName>
    <definedName name="OSRRefE21_4_3x" localSheetId="44">'204'!$J$48:$O$48</definedName>
    <definedName name="OSRRefE21_4x_0" localSheetId="41">'201'!$J$44</definedName>
    <definedName name="OSRRefE21_4x_0" localSheetId="42">'202'!$J$44</definedName>
    <definedName name="OSRRefE21_4x_0" localSheetId="43">'203'!$J$45</definedName>
    <definedName name="OSRRefE21_4x_0" localSheetId="44">'204'!$J$45:$J$48</definedName>
    <definedName name="OSRRefE21_4x_0" localSheetId="45">'205'!$J$44:$J$46</definedName>
    <definedName name="OSRRefE21_4x_0" localSheetId="46">'206'!$J$45</definedName>
    <definedName name="OSRRefE21_4x_0" localSheetId="48">'300'!$J$79</definedName>
    <definedName name="OSRRefE21_4x_0" localSheetId="49">'300 &amp; 317'!$J$85</definedName>
    <definedName name="OSRRefE21_4x_0" localSheetId="50">'301'!$J$46</definedName>
    <definedName name="OSRRefE21_4x_0" localSheetId="52">'307'!$J$57</definedName>
    <definedName name="OSRRefE21_4x_0" localSheetId="53">'308'!$J$60</definedName>
    <definedName name="OSRRefE21_4x_0" localSheetId="64">'309'!$J$27:$J$28</definedName>
    <definedName name="OSRRefE21_4x_0" localSheetId="63">'310'!$J$51</definedName>
    <definedName name="OSRRefE21_4x_0" localSheetId="71">'310 &amp; 491'!$J$53</definedName>
    <definedName name="OSRRefE21_4x_0" localSheetId="54">'311'!$J$60</definedName>
    <definedName name="OSRRefE21_4x_0" localSheetId="57">'315'!$J$68</definedName>
    <definedName name="OSRRefE21_4x_0" localSheetId="60">'316'!$J$51</definedName>
    <definedName name="OSRRefE21_4x_0" localSheetId="62">'317'!$J$60</definedName>
    <definedName name="OSRRefE21_4x_0" localSheetId="66">'321'!$J$48</definedName>
    <definedName name="OSRRefE21_4x_0" localSheetId="68">'325'!$J$49</definedName>
    <definedName name="OSRRefE21_4x_0" localSheetId="58">'326'!$J$52</definedName>
    <definedName name="OSRRefE21_4x_0" localSheetId="51">'330'!$J$57</definedName>
    <definedName name="OSRRefE21_4x_0" localSheetId="56">'331'!$J$68</definedName>
    <definedName name="OSRRefE21_4x_0" localSheetId="59">'332'!$J$51</definedName>
    <definedName name="OSRRefE21_4x_0" localSheetId="73">'405'!$J$51</definedName>
    <definedName name="OSRRefE21_4x_0" localSheetId="75">'411'!$J$45</definedName>
    <definedName name="OSRRefE21_4x_0" localSheetId="79">'415'!$J$51</definedName>
    <definedName name="OSRRefE21_4x_0" localSheetId="80">'418'!$J$48:$J$49</definedName>
    <definedName name="OSRRefE21_4x_0" localSheetId="81">'423'!$J$43</definedName>
    <definedName name="OSRRefE21_4x_0" localSheetId="84">'425'!$J$29</definedName>
    <definedName name="OSRRefE21_4x_0" localSheetId="86">'430'!$J$44</definedName>
    <definedName name="OSRRefE21_4x_0" localSheetId="87">'433'!$J$52</definedName>
    <definedName name="OSRRefE21_4x_0" localSheetId="88">'444'!$J$52</definedName>
    <definedName name="OSRRefE21_4x_0" localSheetId="89">'450'!$J$52</definedName>
    <definedName name="OSRRefE21_4x_0" localSheetId="72">'491'!$J$52</definedName>
    <definedName name="OSRRefE21_4x_0" localSheetId="85">'492'!$J$52</definedName>
    <definedName name="OSRRefE21_4x_0" localSheetId="91">'501'!$J$46</definedName>
    <definedName name="OSRRefE21_4x_0" localSheetId="39">'Div 2'!$J$46</definedName>
    <definedName name="OSRRefE21_4x_0" localSheetId="47">'Div 3'!$J$83</definedName>
    <definedName name="OSRRefE21_4x_0" localSheetId="70">'Div 4'!$J$54</definedName>
    <definedName name="OSRRefE21_4x_0" localSheetId="90">'Div 5'!$J$46</definedName>
    <definedName name="OSRRefE21_4x_0" localSheetId="61">'Div 6'!$J$60</definedName>
    <definedName name="OSRRefE21_4x_0" localSheetId="2">Summary!$J$91</definedName>
    <definedName name="OSRRefE21_4x_1" localSheetId="41">'201'!$K$44</definedName>
    <definedName name="OSRRefE21_4x_1" localSheetId="42">'202'!$K$44</definedName>
    <definedName name="OSRRefE21_4x_1" localSheetId="43">'203'!$K$45</definedName>
    <definedName name="OSRRefE21_4x_1" localSheetId="44">'204'!$K$45:$K$48</definedName>
    <definedName name="OSRRefE21_4x_1" localSheetId="45">'205'!$K$44:$K$46</definedName>
    <definedName name="OSRRefE21_4x_1" localSheetId="46">'206'!$K$45</definedName>
    <definedName name="OSRRefE21_4x_1" localSheetId="48">'300'!$K$79</definedName>
    <definedName name="OSRRefE21_4x_1" localSheetId="49">'300 &amp; 317'!$K$85</definedName>
    <definedName name="OSRRefE21_4x_1" localSheetId="50">'301'!$K$46</definedName>
    <definedName name="OSRRefE21_4x_1" localSheetId="52">'307'!$K$57</definedName>
    <definedName name="OSRRefE21_4x_1" localSheetId="53">'308'!$K$60</definedName>
    <definedName name="OSRRefE21_4x_1" localSheetId="64">'309'!$K$27:$K$28</definedName>
    <definedName name="OSRRefE21_4x_1" localSheetId="63">'310'!$K$51</definedName>
    <definedName name="OSRRefE21_4x_1" localSheetId="71">'310 &amp; 491'!$K$53</definedName>
    <definedName name="OSRRefE21_4x_1" localSheetId="54">'311'!$K$60</definedName>
    <definedName name="OSRRefE21_4x_1" localSheetId="57">'315'!$K$68</definedName>
    <definedName name="OSRRefE21_4x_1" localSheetId="60">'316'!$K$51</definedName>
    <definedName name="OSRRefE21_4x_1" localSheetId="62">'317'!$K$60</definedName>
    <definedName name="OSRRefE21_4x_1" localSheetId="66">'321'!$K$48</definedName>
    <definedName name="OSRRefE21_4x_1" localSheetId="68">'325'!$K$49</definedName>
    <definedName name="OSRRefE21_4x_1" localSheetId="58">'326'!$K$52</definedName>
    <definedName name="OSRRefE21_4x_1" localSheetId="51">'330'!$K$57</definedName>
    <definedName name="OSRRefE21_4x_1" localSheetId="56">'331'!$K$68</definedName>
    <definedName name="OSRRefE21_4x_1" localSheetId="59">'332'!$K$51</definedName>
    <definedName name="OSRRefE21_4x_1" localSheetId="73">'405'!$K$51</definedName>
    <definedName name="OSRRefE21_4x_1" localSheetId="75">'411'!$K$45</definedName>
    <definedName name="OSRRefE21_4x_1" localSheetId="79">'415'!$K$51</definedName>
    <definedName name="OSRRefE21_4x_1" localSheetId="80">'418'!$K$48:$K$49</definedName>
    <definedName name="OSRRefE21_4x_1" localSheetId="81">'423'!$K$43</definedName>
    <definedName name="OSRRefE21_4x_1" localSheetId="84">'425'!$K$29</definedName>
    <definedName name="OSRRefE21_4x_1" localSheetId="86">'430'!$K$44</definedName>
    <definedName name="OSRRefE21_4x_1" localSheetId="87">'433'!$K$52</definedName>
    <definedName name="OSRRefE21_4x_1" localSheetId="88">'444'!$K$52</definedName>
    <definedName name="OSRRefE21_4x_1" localSheetId="89">'450'!$K$52</definedName>
    <definedName name="OSRRefE21_4x_1" localSheetId="72">'491'!$K$52</definedName>
    <definedName name="OSRRefE21_4x_1" localSheetId="85">'492'!$K$52</definedName>
    <definedName name="OSRRefE21_4x_1" localSheetId="91">'501'!$K$46</definedName>
    <definedName name="OSRRefE21_4x_1" localSheetId="39">'Div 2'!$K$46</definedName>
    <definedName name="OSRRefE21_4x_1" localSheetId="47">'Div 3'!$K$83</definedName>
    <definedName name="OSRRefE21_4x_1" localSheetId="70">'Div 4'!$K$54</definedName>
    <definedName name="OSRRefE21_4x_1" localSheetId="90">'Div 5'!$K$46</definedName>
    <definedName name="OSRRefE21_4x_1" localSheetId="61">'Div 6'!$K$60</definedName>
    <definedName name="OSRRefE21_4x_1" localSheetId="2">Summary!$K$91</definedName>
    <definedName name="OSRRefE21_4x_2" localSheetId="41">'201'!$L$44</definedName>
    <definedName name="OSRRefE21_4x_2" localSheetId="42">'202'!$L$44</definedName>
    <definedName name="OSRRefE21_4x_2" localSheetId="43">'203'!$L$45</definedName>
    <definedName name="OSRRefE21_4x_2" localSheetId="44">'204'!$L$45:$L$48</definedName>
    <definedName name="OSRRefE21_4x_2" localSheetId="45">'205'!$L$44:$L$46</definedName>
    <definedName name="OSRRefE21_4x_2" localSheetId="46">'206'!$L$45</definedName>
    <definedName name="OSRRefE21_4x_2" localSheetId="48">'300'!$L$79</definedName>
    <definedName name="OSRRefE21_4x_2" localSheetId="49">'300 &amp; 317'!$L$85</definedName>
    <definedName name="OSRRefE21_4x_2" localSheetId="50">'301'!$L$46</definedName>
    <definedName name="OSRRefE21_4x_2" localSheetId="52">'307'!$L$57</definedName>
    <definedName name="OSRRefE21_4x_2" localSheetId="53">'308'!$L$60</definedName>
    <definedName name="OSRRefE21_4x_2" localSheetId="64">'309'!$L$27:$L$28</definedName>
    <definedName name="OSRRefE21_4x_2" localSheetId="63">'310'!$L$51</definedName>
    <definedName name="OSRRefE21_4x_2" localSheetId="71">'310 &amp; 491'!$L$53</definedName>
    <definedName name="OSRRefE21_4x_2" localSheetId="54">'311'!$L$60</definedName>
    <definedName name="OSRRefE21_4x_2" localSheetId="57">'315'!$L$68</definedName>
    <definedName name="OSRRefE21_4x_2" localSheetId="60">'316'!$L$51</definedName>
    <definedName name="OSRRefE21_4x_2" localSheetId="62">'317'!$L$60</definedName>
    <definedName name="OSRRefE21_4x_2" localSheetId="66">'321'!$L$48</definedName>
    <definedName name="OSRRefE21_4x_2" localSheetId="68">'325'!$L$49</definedName>
    <definedName name="OSRRefE21_4x_2" localSheetId="58">'326'!$L$52</definedName>
    <definedName name="OSRRefE21_4x_2" localSheetId="51">'330'!$L$57</definedName>
    <definedName name="OSRRefE21_4x_2" localSheetId="56">'331'!$L$68</definedName>
    <definedName name="OSRRefE21_4x_2" localSheetId="59">'332'!$L$51</definedName>
    <definedName name="OSRRefE21_4x_2" localSheetId="73">'405'!$L$51</definedName>
    <definedName name="OSRRefE21_4x_2" localSheetId="75">'411'!$L$45</definedName>
    <definedName name="OSRRefE21_4x_2" localSheetId="79">'415'!$L$51</definedName>
    <definedName name="OSRRefE21_4x_2" localSheetId="80">'418'!$L$48:$L$49</definedName>
    <definedName name="OSRRefE21_4x_2" localSheetId="81">'423'!$L$43</definedName>
    <definedName name="OSRRefE21_4x_2" localSheetId="84">'425'!$L$29</definedName>
    <definedName name="OSRRefE21_4x_2" localSheetId="86">'430'!$L$44</definedName>
    <definedName name="OSRRefE21_4x_2" localSheetId="87">'433'!$L$52</definedName>
    <definedName name="OSRRefE21_4x_2" localSheetId="88">'444'!$L$52</definedName>
    <definedName name="OSRRefE21_4x_2" localSheetId="89">'450'!$L$52</definedName>
    <definedName name="OSRRefE21_4x_2" localSheetId="72">'491'!$L$52</definedName>
    <definedName name="OSRRefE21_4x_2" localSheetId="85">'492'!$L$52</definedName>
    <definedName name="OSRRefE21_4x_2" localSheetId="91">'501'!$L$46</definedName>
    <definedName name="OSRRefE21_4x_2" localSheetId="39">'Div 2'!$L$46</definedName>
    <definedName name="OSRRefE21_4x_2" localSheetId="47">'Div 3'!$L$83</definedName>
    <definedName name="OSRRefE21_4x_2" localSheetId="70">'Div 4'!$L$54</definedName>
    <definedName name="OSRRefE21_4x_2" localSheetId="90">'Div 5'!$L$46</definedName>
    <definedName name="OSRRefE21_4x_2" localSheetId="61">'Div 6'!$L$60</definedName>
    <definedName name="OSRRefE21_4x_2" localSheetId="2">Summary!$L$91</definedName>
    <definedName name="OSRRefE21_4x_3" localSheetId="41">'201'!$M$44</definedName>
    <definedName name="OSRRefE21_4x_3" localSheetId="42">'202'!$M$44</definedName>
    <definedName name="OSRRefE21_4x_3" localSheetId="43">'203'!$M$45</definedName>
    <definedName name="OSRRefE21_4x_3" localSheetId="44">'204'!$M$45:$M$48</definedName>
    <definedName name="OSRRefE21_4x_3" localSheetId="45">'205'!$M$44:$M$46</definedName>
    <definedName name="OSRRefE21_4x_3" localSheetId="46">'206'!$M$45</definedName>
    <definedName name="OSRRefE21_4x_3" localSheetId="48">'300'!$M$79</definedName>
    <definedName name="OSRRefE21_4x_3" localSheetId="49">'300 &amp; 317'!$M$85</definedName>
    <definedName name="OSRRefE21_4x_3" localSheetId="50">'301'!$M$46</definedName>
    <definedName name="OSRRefE21_4x_3" localSheetId="52">'307'!$M$57</definedName>
    <definedName name="OSRRefE21_4x_3" localSheetId="53">'308'!$M$60</definedName>
    <definedName name="OSRRefE21_4x_3" localSheetId="64">'309'!$M$27:$M$28</definedName>
    <definedName name="OSRRefE21_4x_3" localSheetId="63">'310'!$M$51</definedName>
    <definedName name="OSRRefE21_4x_3" localSheetId="71">'310 &amp; 491'!$M$53</definedName>
    <definedName name="OSRRefE21_4x_3" localSheetId="54">'311'!$M$60</definedName>
    <definedName name="OSRRefE21_4x_3" localSheetId="57">'315'!$M$68</definedName>
    <definedName name="OSRRefE21_4x_3" localSheetId="60">'316'!$M$51</definedName>
    <definedName name="OSRRefE21_4x_3" localSheetId="62">'317'!$M$60</definedName>
    <definedName name="OSRRefE21_4x_3" localSheetId="66">'321'!$M$48</definedName>
    <definedName name="OSRRefE21_4x_3" localSheetId="68">'325'!$M$49</definedName>
    <definedName name="OSRRefE21_4x_3" localSheetId="58">'326'!$M$52</definedName>
    <definedName name="OSRRefE21_4x_3" localSheetId="51">'330'!$M$57</definedName>
    <definedName name="OSRRefE21_4x_3" localSheetId="56">'331'!$M$68</definedName>
    <definedName name="OSRRefE21_4x_3" localSheetId="59">'332'!$M$51</definedName>
    <definedName name="OSRRefE21_4x_3" localSheetId="73">'405'!$M$51</definedName>
    <definedName name="OSRRefE21_4x_3" localSheetId="75">'411'!$M$45</definedName>
    <definedName name="OSRRefE21_4x_3" localSheetId="79">'415'!$M$51</definedName>
    <definedName name="OSRRefE21_4x_3" localSheetId="80">'418'!$M$48:$M$49</definedName>
    <definedName name="OSRRefE21_4x_3" localSheetId="81">'423'!$M$43</definedName>
    <definedName name="OSRRefE21_4x_3" localSheetId="84">'425'!$M$29</definedName>
    <definedName name="OSRRefE21_4x_3" localSheetId="86">'430'!$M$44</definedName>
    <definedName name="OSRRefE21_4x_3" localSheetId="87">'433'!$M$52</definedName>
    <definedName name="OSRRefE21_4x_3" localSheetId="88">'444'!$M$52</definedName>
    <definedName name="OSRRefE21_4x_3" localSheetId="89">'450'!$M$52</definedName>
    <definedName name="OSRRefE21_4x_3" localSheetId="72">'491'!$M$52</definedName>
    <definedName name="OSRRefE21_4x_3" localSheetId="85">'492'!$M$52</definedName>
    <definedName name="OSRRefE21_4x_3" localSheetId="91">'501'!$M$46</definedName>
    <definedName name="OSRRefE21_4x_3" localSheetId="39">'Div 2'!$M$46</definedName>
    <definedName name="OSRRefE21_4x_3" localSheetId="47">'Div 3'!$M$83</definedName>
    <definedName name="OSRRefE21_4x_3" localSheetId="70">'Div 4'!$M$54</definedName>
    <definedName name="OSRRefE21_4x_3" localSheetId="90">'Div 5'!$M$46</definedName>
    <definedName name="OSRRefE21_4x_3" localSheetId="61">'Div 6'!$M$60</definedName>
    <definedName name="OSRRefE21_4x_3" localSheetId="2">Summary!$M$91</definedName>
    <definedName name="OSRRefE21_4x_4" localSheetId="41">'201'!$N$44</definedName>
    <definedName name="OSRRefE21_4x_4" localSheetId="42">'202'!$N$44</definedName>
    <definedName name="OSRRefE21_4x_4" localSheetId="43">'203'!$N$45</definedName>
    <definedName name="OSRRefE21_4x_4" localSheetId="44">'204'!$N$45:$N$48</definedName>
    <definedName name="OSRRefE21_4x_4" localSheetId="45">'205'!$N$44:$N$46</definedName>
    <definedName name="OSRRefE21_4x_4" localSheetId="46">'206'!$N$45</definedName>
    <definedName name="OSRRefE21_4x_4" localSheetId="48">'300'!$N$79</definedName>
    <definedName name="OSRRefE21_4x_4" localSheetId="49">'300 &amp; 317'!$N$85</definedName>
    <definedName name="OSRRefE21_4x_4" localSheetId="50">'301'!$N$46</definedName>
    <definedName name="OSRRefE21_4x_4" localSheetId="52">'307'!$N$57</definedName>
    <definedName name="OSRRefE21_4x_4" localSheetId="53">'308'!$N$60</definedName>
    <definedName name="OSRRefE21_4x_4" localSheetId="64">'309'!$N$27:$N$28</definedName>
    <definedName name="OSRRefE21_4x_4" localSheetId="63">'310'!$N$51</definedName>
    <definedName name="OSRRefE21_4x_4" localSheetId="71">'310 &amp; 491'!$N$53</definedName>
    <definedName name="OSRRefE21_4x_4" localSheetId="54">'311'!$N$60</definedName>
    <definedName name="OSRRefE21_4x_4" localSheetId="57">'315'!$N$68</definedName>
    <definedName name="OSRRefE21_4x_4" localSheetId="60">'316'!$N$51</definedName>
    <definedName name="OSRRefE21_4x_4" localSheetId="62">'317'!$N$60</definedName>
    <definedName name="OSRRefE21_4x_4" localSheetId="66">'321'!$N$48</definedName>
    <definedName name="OSRRefE21_4x_4" localSheetId="68">'325'!$N$49</definedName>
    <definedName name="OSRRefE21_4x_4" localSheetId="58">'326'!$N$52</definedName>
    <definedName name="OSRRefE21_4x_4" localSheetId="51">'330'!$N$57</definedName>
    <definedName name="OSRRefE21_4x_4" localSheetId="56">'331'!$N$68</definedName>
    <definedName name="OSRRefE21_4x_4" localSheetId="59">'332'!$N$51</definedName>
    <definedName name="OSRRefE21_4x_4" localSheetId="73">'405'!$N$51</definedName>
    <definedName name="OSRRefE21_4x_4" localSheetId="75">'411'!$N$45</definedName>
    <definedName name="OSRRefE21_4x_4" localSheetId="79">'415'!$N$51</definedName>
    <definedName name="OSRRefE21_4x_4" localSheetId="80">'418'!$N$48:$N$49</definedName>
    <definedName name="OSRRefE21_4x_4" localSheetId="81">'423'!$N$43</definedName>
    <definedName name="OSRRefE21_4x_4" localSheetId="84">'425'!$N$29</definedName>
    <definedName name="OSRRefE21_4x_4" localSheetId="86">'430'!$N$44</definedName>
    <definedName name="OSRRefE21_4x_4" localSheetId="87">'433'!$N$52</definedName>
    <definedName name="OSRRefE21_4x_4" localSheetId="88">'444'!$N$52</definedName>
    <definedName name="OSRRefE21_4x_4" localSheetId="89">'450'!$N$52</definedName>
    <definedName name="OSRRefE21_4x_4" localSheetId="72">'491'!$N$52</definedName>
    <definedName name="OSRRefE21_4x_4" localSheetId="85">'492'!$N$52</definedName>
    <definedName name="OSRRefE21_4x_4" localSheetId="91">'501'!$N$46</definedName>
    <definedName name="OSRRefE21_4x_4" localSheetId="39">'Div 2'!$N$46</definedName>
    <definedName name="OSRRefE21_4x_4" localSheetId="47">'Div 3'!$N$83</definedName>
    <definedName name="OSRRefE21_4x_4" localSheetId="70">'Div 4'!$N$54</definedName>
    <definedName name="OSRRefE21_4x_4" localSheetId="90">'Div 5'!$N$46</definedName>
    <definedName name="OSRRefE21_4x_4" localSheetId="61">'Div 6'!$N$60</definedName>
    <definedName name="OSRRefE21_4x_4" localSheetId="2">Summary!$N$91</definedName>
    <definedName name="OSRRefE21_4x_5" localSheetId="41">'201'!$O$44</definedName>
    <definedName name="OSRRefE21_4x_5" localSheetId="42">'202'!$O$44</definedName>
    <definedName name="OSRRefE21_4x_5" localSheetId="43">'203'!$O$45</definedName>
    <definedName name="OSRRefE21_4x_5" localSheetId="44">'204'!$O$45:$O$48</definedName>
    <definedName name="OSRRefE21_4x_5" localSheetId="45">'205'!$O$44:$O$46</definedName>
    <definedName name="OSRRefE21_4x_5" localSheetId="46">'206'!$O$45</definedName>
    <definedName name="OSRRefE21_4x_5" localSheetId="48">'300'!$O$79</definedName>
    <definedName name="OSRRefE21_4x_5" localSheetId="49">'300 &amp; 317'!$O$85</definedName>
    <definedName name="OSRRefE21_4x_5" localSheetId="50">'301'!$O$46</definedName>
    <definedName name="OSRRefE21_4x_5" localSheetId="52">'307'!$O$57</definedName>
    <definedName name="OSRRefE21_4x_5" localSheetId="53">'308'!$O$60</definedName>
    <definedName name="OSRRefE21_4x_5" localSheetId="64">'309'!$O$27:$O$28</definedName>
    <definedName name="OSRRefE21_4x_5" localSheetId="63">'310'!$O$51</definedName>
    <definedName name="OSRRefE21_4x_5" localSheetId="71">'310 &amp; 491'!$O$53</definedName>
    <definedName name="OSRRefE21_4x_5" localSheetId="54">'311'!$O$60</definedName>
    <definedName name="OSRRefE21_4x_5" localSheetId="57">'315'!$O$68</definedName>
    <definedName name="OSRRefE21_4x_5" localSheetId="60">'316'!$O$51</definedName>
    <definedName name="OSRRefE21_4x_5" localSheetId="62">'317'!$O$60</definedName>
    <definedName name="OSRRefE21_4x_5" localSheetId="66">'321'!$O$48</definedName>
    <definedName name="OSRRefE21_4x_5" localSheetId="68">'325'!$O$49</definedName>
    <definedName name="OSRRefE21_4x_5" localSheetId="58">'326'!$O$52</definedName>
    <definedName name="OSRRefE21_4x_5" localSheetId="51">'330'!$O$57</definedName>
    <definedName name="OSRRefE21_4x_5" localSheetId="56">'331'!$O$68</definedName>
    <definedName name="OSRRefE21_4x_5" localSheetId="59">'332'!$O$51</definedName>
    <definedName name="OSRRefE21_4x_5" localSheetId="73">'405'!$O$51</definedName>
    <definedName name="OSRRefE21_4x_5" localSheetId="75">'411'!$O$45</definedName>
    <definedName name="OSRRefE21_4x_5" localSheetId="79">'415'!$O$51</definedName>
    <definedName name="OSRRefE21_4x_5" localSheetId="80">'418'!$O$48:$O$49</definedName>
    <definedName name="OSRRefE21_4x_5" localSheetId="81">'423'!$O$43</definedName>
    <definedName name="OSRRefE21_4x_5" localSheetId="84">'425'!$O$29</definedName>
    <definedName name="OSRRefE21_4x_5" localSheetId="86">'430'!$O$44</definedName>
    <definedName name="OSRRefE21_4x_5" localSheetId="87">'433'!$O$52</definedName>
    <definedName name="OSRRefE21_4x_5" localSheetId="88">'444'!$O$52</definedName>
    <definedName name="OSRRefE21_4x_5" localSheetId="89">'450'!$O$52</definedName>
    <definedName name="OSRRefE21_4x_5" localSheetId="72">'491'!$O$52</definedName>
    <definedName name="OSRRefE21_4x_5" localSheetId="85">'492'!$O$52</definedName>
    <definedName name="OSRRefE21_4x_5" localSheetId="91">'501'!$O$46</definedName>
    <definedName name="OSRRefE21_4x_5" localSheetId="39">'Div 2'!$O$46</definedName>
    <definedName name="OSRRefE21_4x_5" localSheetId="47">'Div 3'!$O$83</definedName>
    <definedName name="OSRRefE21_4x_5" localSheetId="70">'Div 4'!$O$54</definedName>
    <definedName name="OSRRefE21_4x_5" localSheetId="90">'Div 5'!$O$46</definedName>
    <definedName name="OSRRefE21_4x_5" localSheetId="61">'Div 6'!$O$60</definedName>
    <definedName name="OSRRefE21_4x_5" localSheetId="2">Summary!$O$91</definedName>
    <definedName name="OSRRefE21_5_0x" localSheetId="41">'201'!$J$46:$O$46</definedName>
    <definedName name="OSRRefE21_5_0x" localSheetId="42">'202'!$J$46:$O$46</definedName>
    <definedName name="OSRRefE21_5_0x" localSheetId="43">'203'!$J$47:$O$47</definedName>
    <definedName name="OSRRefE21_5_0x" localSheetId="44">'204'!$J$50:$O$50</definedName>
    <definedName name="OSRRefE21_5_0x" localSheetId="45">'205'!$J$48:$O$48</definedName>
    <definedName name="OSRRefE21_5_0x" localSheetId="46">'206'!$J$47:$O$47</definedName>
    <definedName name="OSRRefE21_5_0x" localSheetId="48">'300'!$J$81:$O$81</definedName>
    <definedName name="OSRRefE21_5_0x" localSheetId="49">'300 &amp; 317'!$J$87:$O$87</definedName>
    <definedName name="OSRRefE21_5_0x" localSheetId="50">'301'!$J$48:$O$48</definedName>
    <definedName name="OSRRefE21_5_0x" localSheetId="52">'307'!$J$59:$O$59</definedName>
    <definedName name="OSRRefE21_5_0x" localSheetId="53">'308'!$J$62:$O$62</definedName>
    <definedName name="OSRRefE21_5_0x" localSheetId="64">'309'!$J$30:$O$30</definedName>
    <definedName name="OSRRefE21_5_0x" localSheetId="63">'310'!$J$53:$O$53</definedName>
    <definedName name="OSRRefE21_5_0x" localSheetId="71">'310 &amp; 491'!$J$55:$O$55</definedName>
    <definedName name="OSRRefE21_5_0x" localSheetId="54">'311'!$J$62:$O$62</definedName>
    <definedName name="OSRRefE21_5_0x" localSheetId="57">'315'!$J$70:$O$70</definedName>
    <definedName name="OSRRefE21_5_0x" localSheetId="60">'316'!$J$53:$O$53</definedName>
    <definedName name="OSRRefE21_5_0x" localSheetId="62">'317'!$J$62:$O$62</definedName>
    <definedName name="OSRRefE21_5_0x" localSheetId="66">'321'!$J$50:$O$50</definedName>
    <definedName name="OSRRefE21_5_0x" localSheetId="68">'325'!$J$51:$O$51</definedName>
    <definedName name="OSRRefE21_5_0x" localSheetId="58">'326'!$J$54:$O$54</definedName>
    <definedName name="OSRRefE21_5_0x" localSheetId="51">'330'!$J$59:$O$59</definedName>
    <definedName name="OSRRefE21_5_0x" localSheetId="56">'331'!$J$70:$O$70</definedName>
    <definedName name="OSRRefE21_5_0x" localSheetId="59">'332'!$J$53:$O$53</definedName>
    <definedName name="OSRRefE21_5_0x" localSheetId="73">'405'!$J$53:$O$53</definedName>
    <definedName name="OSRRefE21_5_0x" localSheetId="75">'411'!$J$47:$O$47</definedName>
    <definedName name="OSRRefE21_5_0x" localSheetId="79">'415'!$J$53:$O$53</definedName>
    <definedName name="OSRRefE21_5_0x" localSheetId="80">'418'!$J$51:$O$51</definedName>
    <definedName name="OSRRefE21_5_0x" localSheetId="86">'430'!$J$46:$O$46</definedName>
    <definedName name="OSRRefE21_5_0x" localSheetId="87">'433'!$J$54:$O$54</definedName>
    <definedName name="OSRRefE21_5_0x" localSheetId="88">'444'!$J$54:$O$54</definedName>
    <definedName name="OSRRefE21_5_0x" localSheetId="89">'450'!$J$54:$O$54</definedName>
    <definedName name="OSRRefE21_5_0x" localSheetId="72">'491'!$J$54:$O$54</definedName>
    <definedName name="OSRRefE21_5_0x" localSheetId="85">'492'!$J$54:$O$54</definedName>
    <definedName name="OSRRefE21_5_0x" localSheetId="91">'501'!$J$48:$O$48</definedName>
    <definedName name="OSRRefE21_5_0x" localSheetId="39">'Div 2'!$J$48:$O$48</definedName>
    <definedName name="OSRRefE21_5_0x" localSheetId="47">'Div 3'!$J$85:$O$85</definedName>
    <definedName name="OSRRefE21_5_0x" localSheetId="70">'Div 4'!$J$56:$O$56</definedName>
    <definedName name="OSRRefE21_5_0x" localSheetId="90">'Div 5'!$J$48:$O$48</definedName>
    <definedName name="OSRRefE21_5_0x" localSheetId="61">'Div 6'!$J$62:$O$62</definedName>
    <definedName name="OSRRefE21_5_0x" localSheetId="2">Summary!$J$93:$O$93</definedName>
    <definedName name="OSRRefE21_5_1x" localSheetId="46">'206'!$J$48:$O$48</definedName>
    <definedName name="OSRRefE21_5_1x" localSheetId="48">'300'!$J$82:$O$82</definedName>
    <definedName name="OSRRefE21_5_1x" localSheetId="49">'300 &amp; 317'!$J$88:$O$88</definedName>
    <definedName name="OSRRefE21_5_1x" localSheetId="50">'301'!$J$49:$O$49</definedName>
    <definedName name="OSRRefE21_5_1x" localSheetId="63">'310'!$J$54:$O$54</definedName>
    <definedName name="OSRRefE21_5_1x" localSheetId="71">'310 &amp; 491'!$J$56:$O$56</definedName>
    <definedName name="OSRRefE21_5_1x" localSheetId="60">'316'!$J$54:$O$54</definedName>
    <definedName name="OSRRefE21_5_1x" localSheetId="68">'325'!$J$52:$O$52</definedName>
    <definedName name="OSRRefE21_5_1x" localSheetId="59">'332'!$J$54:$O$54</definedName>
    <definedName name="OSRRefE21_5_1x" localSheetId="73">'405'!$J$54:$O$54</definedName>
    <definedName name="OSRRefE21_5_1x" localSheetId="79">'415'!$J$54:$O$54</definedName>
    <definedName name="OSRRefE21_5_1x" localSheetId="86">'430'!$J$47:$O$47</definedName>
    <definedName name="OSRRefE21_5_1x" localSheetId="72">'491'!$J$55:$O$55</definedName>
    <definedName name="OSRRefE21_5_1x" localSheetId="91">'501'!$J$49:$O$49</definedName>
    <definedName name="OSRRefE21_5_1x" localSheetId="39">'Div 2'!$J$49:$O$49</definedName>
    <definedName name="OSRRefE21_5_1x" localSheetId="47">'Div 3'!$J$86:$O$86</definedName>
    <definedName name="OSRRefE21_5_1x" localSheetId="70">'Div 4'!$J$57:$O$57</definedName>
    <definedName name="OSRRefE21_5_1x" localSheetId="90">'Div 5'!$J$49:$O$49</definedName>
    <definedName name="OSRRefE21_5_1x" localSheetId="2">Summary!$J$94:$O$94</definedName>
    <definedName name="OSRRefE21_5x_0" localSheetId="41">'201'!$J$46</definedName>
    <definedName name="OSRRefE21_5x_0" localSheetId="42">'202'!$J$46</definedName>
    <definedName name="OSRRefE21_5x_0" localSheetId="43">'203'!$J$47</definedName>
    <definedName name="OSRRefE21_5x_0" localSheetId="44">'204'!$J$50</definedName>
    <definedName name="OSRRefE21_5x_0" localSheetId="45">'205'!$J$48</definedName>
    <definedName name="OSRRefE21_5x_0" localSheetId="46">'206'!$J$47:$J$48</definedName>
    <definedName name="OSRRefE21_5x_0" localSheetId="48">'300'!$J$81:$J$82</definedName>
    <definedName name="OSRRefE21_5x_0" localSheetId="49">'300 &amp; 317'!$J$87:$J$88</definedName>
    <definedName name="OSRRefE21_5x_0" localSheetId="50">'301'!$J$48:$J$49</definedName>
    <definedName name="OSRRefE21_5x_0" localSheetId="52">'307'!$J$59</definedName>
    <definedName name="OSRRefE21_5x_0" localSheetId="53">'308'!$J$62</definedName>
    <definedName name="OSRRefE21_5x_0" localSheetId="64">'309'!$J$30</definedName>
    <definedName name="OSRRefE21_5x_0" localSheetId="63">'310'!$J$53:$J$54</definedName>
    <definedName name="OSRRefE21_5x_0" localSheetId="71">'310 &amp; 491'!$J$55:$J$56</definedName>
    <definedName name="OSRRefE21_5x_0" localSheetId="54">'311'!$J$62</definedName>
    <definedName name="OSRRefE21_5x_0" localSheetId="57">'315'!$J$70</definedName>
    <definedName name="OSRRefE21_5x_0" localSheetId="60">'316'!$J$53:$J$54</definedName>
    <definedName name="OSRRefE21_5x_0" localSheetId="62">'317'!$J$62</definedName>
    <definedName name="OSRRefE21_5x_0" localSheetId="66">'321'!$J$50</definedName>
    <definedName name="OSRRefE21_5x_0" localSheetId="68">'325'!$J$51:$J$52</definedName>
    <definedName name="OSRRefE21_5x_0" localSheetId="58">'326'!$J$54</definedName>
    <definedName name="OSRRefE21_5x_0" localSheetId="51">'330'!$J$59</definedName>
    <definedName name="OSRRefE21_5x_0" localSheetId="56">'331'!$J$70</definedName>
    <definedName name="OSRRefE21_5x_0" localSheetId="59">'332'!$J$53:$J$54</definedName>
    <definedName name="OSRRefE21_5x_0" localSheetId="73">'405'!$J$53:$J$54</definedName>
    <definedName name="OSRRefE21_5x_0" localSheetId="75">'411'!$J$47</definedName>
    <definedName name="OSRRefE21_5x_0" localSheetId="79">'415'!$J$53:$J$54</definedName>
    <definedName name="OSRRefE21_5x_0" localSheetId="80">'418'!$J$51</definedName>
    <definedName name="OSRRefE21_5x_0" localSheetId="86">'430'!$J$46:$J$47</definedName>
    <definedName name="OSRRefE21_5x_0" localSheetId="87">'433'!$J$54</definedName>
    <definedName name="OSRRefE21_5x_0" localSheetId="88">'444'!$J$54</definedName>
    <definedName name="OSRRefE21_5x_0" localSheetId="89">'450'!$J$54</definedName>
    <definedName name="OSRRefE21_5x_0" localSheetId="72">'491'!$J$54:$J$55</definedName>
    <definedName name="OSRRefE21_5x_0" localSheetId="85">'492'!$J$54</definedName>
    <definedName name="OSRRefE21_5x_0" localSheetId="91">'501'!$J$48:$J$49</definedName>
    <definedName name="OSRRefE21_5x_0" localSheetId="39">'Div 2'!$J$48:$J$49</definedName>
    <definedName name="OSRRefE21_5x_0" localSheetId="47">'Div 3'!$J$85:$J$86</definedName>
    <definedName name="OSRRefE21_5x_0" localSheetId="70">'Div 4'!$J$56:$J$57</definedName>
    <definedName name="OSRRefE21_5x_0" localSheetId="90">'Div 5'!$J$48:$J$49</definedName>
    <definedName name="OSRRefE21_5x_0" localSheetId="61">'Div 6'!$J$62</definedName>
    <definedName name="OSRRefE21_5x_0" localSheetId="2">Summary!$J$93:$J$94</definedName>
    <definedName name="OSRRefE21_5x_1" localSheetId="41">'201'!$K$46</definedName>
    <definedName name="OSRRefE21_5x_1" localSheetId="42">'202'!$K$46</definedName>
    <definedName name="OSRRefE21_5x_1" localSheetId="43">'203'!$K$47</definedName>
    <definedName name="OSRRefE21_5x_1" localSheetId="44">'204'!$K$50</definedName>
    <definedName name="OSRRefE21_5x_1" localSheetId="45">'205'!$K$48</definedName>
    <definedName name="OSRRefE21_5x_1" localSheetId="46">'206'!$K$47:$K$48</definedName>
    <definedName name="OSRRefE21_5x_1" localSheetId="48">'300'!$K$81:$K$82</definedName>
    <definedName name="OSRRefE21_5x_1" localSheetId="49">'300 &amp; 317'!$K$87:$K$88</definedName>
    <definedName name="OSRRefE21_5x_1" localSheetId="50">'301'!$K$48:$K$49</definedName>
    <definedName name="OSRRefE21_5x_1" localSheetId="52">'307'!$K$59</definedName>
    <definedName name="OSRRefE21_5x_1" localSheetId="53">'308'!$K$62</definedName>
    <definedName name="OSRRefE21_5x_1" localSheetId="64">'309'!$K$30</definedName>
    <definedName name="OSRRefE21_5x_1" localSheetId="63">'310'!$K$53:$K$54</definedName>
    <definedName name="OSRRefE21_5x_1" localSheetId="71">'310 &amp; 491'!$K$55:$K$56</definedName>
    <definedName name="OSRRefE21_5x_1" localSheetId="54">'311'!$K$62</definedName>
    <definedName name="OSRRefE21_5x_1" localSheetId="57">'315'!$K$70</definedName>
    <definedName name="OSRRefE21_5x_1" localSheetId="60">'316'!$K$53:$K$54</definedName>
    <definedName name="OSRRefE21_5x_1" localSheetId="62">'317'!$K$62</definedName>
    <definedName name="OSRRefE21_5x_1" localSheetId="66">'321'!$K$50</definedName>
    <definedName name="OSRRefE21_5x_1" localSheetId="68">'325'!$K$51:$K$52</definedName>
    <definedName name="OSRRefE21_5x_1" localSheetId="58">'326'!$K$54</definedName>
    <definedName name="OSRRefE21_5x_1" localSheetId="51">'330'!$K$59</definedName>
    <definedName name="OSRRefE21_5x_1" localSheetId="56">'331'!$K$70</definedName>
    <definedName name="OSRRefE21_5x_1" localSheetId="59">'332'!$K$53:$K$54</definedName>
    <definedName name="OSRRefE21_5x_1" localSheetId="73">'405'!$K$53:$K$54</definedName>
    <definedName name="OSRRefE21_5x_1" localSheetId="75">'411'!$K$47</definedName>
    <definedName name="OSRRefE21_5x_1" localSheetId="79">'415'!$K$53:$K$54</definedName>
    <definedName name="OSRRefE21_5x_1" localSheetId="80">'418'!$K$51</definedName>
    <definedName name="OSRRefE21_5x_1" localSheetId="86">'430'!$K$46:$K$47</definedName>
    <definedName name="OSRRefE21_5x_1" localSheetId="87">'433'!$K$54</definedName>
    <definedName name="OSRRefE21_5x_1" localSheetId="88">'444'!$K$54</definedName>
    <definedName name="OSRRefE21_5x_1" localSheetId="89">'450'!$K$54</definedName>
    <definedName name="OSRRefE21_5x_1" localSheetId="72">'491'!$K$54:$K$55</definedName>
    <definedName name="OSRRefE21_5x_1" localSheetId="85">'492'!$K$54</definedName>
    <definedName name="OSRRefE21_5x_1" localSheetId="91">'501'!$K$48:$K$49</definedName>
    <definedName name="OSRRefE21_5x_1" localSheetId="39">'Div 2'!$K$48:$K$49</definedName>
    <definedName name="OSRRefE21_5x_1" localSheetId="47">'Div 3'!$K$85:$K$86</definedName>
    <definedName name="OSRRefE21_5x_1" localSheetId="70">'Div 4'!$K$56:$K$57</definedName>
    <definedName name="OSRRefE21_5x_1" localSheetId="90">'Div 5'!$K$48:$K$49</definedName>
    <definedName name="OSRRefE21_5x_1" localSheetId="61">'Div 6'!$K$62</definedName>
    <definedName name="OSRRefE21_5x_1" localSheetId="2">Summary!$K$93:$K$94</definedName>
    <definedName name="OSRRefE21_5x_2" localSheetId="41">'201'!$L$46</definedName>
    <definedName name="OSRRefE21_5x_2" localSheetId="42">'202'!$L$46</definedName>
    <definedName name="OSRRefE21_5x_2" localSheetId="43">'203'!$L$47</definedName>
    <definedName name="OSRRefE21_5x_2" localSheetId="44">'204'!$L$50</definedName>
    <definedName name="OSRRefE21_5x_2" localSheetId="45">'205'!$L$48</definedName>
    <definedName name="OSRRefE21_5x_2" localSheetId="46">'206'!$L$47:$L$48</definedName>
    <definedName name="OSRRefE21_5x_2" localSheetId="48">'300'!$L$81:$L$82</definedName>
    <definedName name="OSRRefE21_5x_2" localSheetId="49">'300 &amp; 317'!$L$87:$L$88</definedName>
    <definedName name="OSRRefE21_5x_2" localSheetId="50">'301'!$L$48:$L$49</definedName>
    <definedName name="OSRRefE21_5x_2" localSheetId="52">'307'!$L$59</definedName>
    <definedName name="OSRRefE21_5x_2" localSheetId="53">'308'!$L$62</definedName>
    <definedName name="OSRRefE21_5x_2" localSheetId="64">'309'!$L$30</definedName>
    <definedName name="OSRRefE21_5x_2" localSheetId="63">'310'!$L$53:$L$54</definedName>
    <definedName name="OSRRefE21_5x_2" localSheetId="71">'310 &amp; 491'!$L$55:$L$56</definedName>
    <definedName name="OSRRefE21_5x_2" localSheetId="54">'311'!$L$62</definedName>
    <definedName name="OSRRefE21_5x_2" localSheetId="57">'315'!$L$70</definedName>
    <definedName name="OSRRefE21_5x_2" localSheetId="60">'316'!$L$53:$L$54</definedName>
    <definedName name="OSRRefE21_5x_2" localSheetId="62">'317'!$L$62</definedName>
    <definedName name="OSRRefE21_5x_2" localSheetId="66">'321'!$L$50</definedName>
    <definedName name="OSRRefE21_5x_2" localSheetId="68">'325'!$L$51:$L$52</definedName>
    <definedName name="OSRRefE21_5x_2" localSheetId="58">'326'!$L$54</definedName>
    <definedName name="OSRRefE21_5x_2" localSheetId="51">'330'!$L$59</definedName>
    <definedName name="OSRRefE21_5x_2" localSheetId="56">'331'!$L$70</definedName>
    <definedName name="OSRRefE21_5x_2" localSheetId="59">'332'!$L$53:$L$54</definedName>
    <definedName name="OSRRefE21_5x_2" localSheetId="73">'405'!$L$53:$L$54</definedName>
    <definedName name="OSRRefE21_5x_2" localSheetId="75">'411'!$L$47</definedName>
    <definedName name="OSRRefE21_5x_2" localSheetId="79">'415'!$L$53:$L$54</definedName>
    <definedName name="OSRRefE21_5x_2" localSheetId="80">'418'!$L$51</definedName>
    <definedName name="OSRRefE21_5x_2" localSheetId="86">'430'!$L$46:$L$47</definedName>
    <definedName name="OSRRefE21_5x_2" localSheetId="87">'433'!$L$54</definedName>
    <definedName name="OSRRefE21_5x_2" localSheetId="88">'444'!$L$54</definedName>
    <definedName name="OSRRefE21_5x_2" localSheetId="89">'450'!$L$54</definedName>
    <definedName name="OSRRefE21_5x_2" localSheetId="72">'491'!$L$54:$L$55</definedName>
    <definedName name="OSRRefE21_5x_2" localSheetId="85">'492'!$L$54</definedName>
    <definedName name="OSRRefE21_5x_2" localSheetId="91">'501'!$L$48:$L$49</definedName>
    <definedName name="OSRRefE21_5x_2" localSheetId="39">'Div 2'!$L$48:$L$49</definedName>
    <definedName name="OSRRefE21_5x_2" localSheetId="47">'Div 3'!$L$85:$L$86</definedName>
    <definedName name="OSRRefE21_5x_2" localSheetId="70">'Div 4'!$L$56:$L$57</definedName>
    <definedName name="OSRRefE21_5x_2" localSheetId="90">'Div 5'!$L$48:$L$49</definedName>
    <definedName name="OSRRefE21_5x_2" localSheetId="61">'Div 6'!$L$62</definedName>
    <definedName name="OSRRefE21_5x_2" localSheetId="2">Summary!$L$93:$L$94</definedName>
    <definedName name="OSRRefE21_5x_3" localSheetId="41">'201'!$M$46</definedName>
    <definedName name="OSRRefE21_5x_3" localSheetId="42">'202'!$M$46</definedName>
    <definedName name="OSRRefE21_5x_3" localSheetId="43">'203'!$M$47</definedName>
    <definedName name="OSRRefE21_5x_3" localSheetId="44">'204'!$M$50</definedName>
    <definedName name="OSRRefE21_5x_3" localSheetId="45">'205'!$M$48</definedName>
    <definedName name="OSRRefE21_5x_3" localSheetId="46">'206'!$M$47:$M$48</definedName>
    <definedName name="OSRRefE21_5x_3" localSheetId="48">'300'!$M$81:$M$82</definedName>
    <definedName name="OSRRefE21_5x_3" localSheetId="49">'300 &amp; 317'!$M$87:$M$88</definedName>
    <definedName name="OSRRefE21_5x_3" localSheetId="50">'301'!$M$48:$M$49</definedName>
    <definedName name="OSRRefE21_5x_3" localSheetId="52">'307'!$M$59</definedName>
    <definedName name="OSRRefE21_5x_3" localSheetId="53">'308'!$M$62</definedName>
    <definedName name="OSRRefE21_5x_3" localSheetId="64">'309'!$M$30</definedName>
    <definedName name="OSRRefE21_5x_3" localSheetId="63">'310'!$M$53:$M$54</definedName>
    <definedName name="OSRRefE21_5x_3" localSheetId="71">'310 &amp; 491'!$M$55:$M$56</definedName>
    <definedName name="OSRRefE21_5x_3" localSheetId="54">'311'!$M$62</definedName>
    <definedName name="OSRRefE21_5x_3" localSheetId="57">'315'!$M$70</definedName>
    <definedName name="OSRRefE21_5x_3" localSheetId="60">'316'!$M$53:$M$54</definedName>
    <definedName name="OSRRefE21_5x_3" localSheetId="62">'317'!$M$62</definedName>
    <definedName name="OSRRefE21_5x_3" localSheetId="66">'321'!$M$50</definedName>
    <definedName name="OSRRefE21_5x_3" localSheetId="68">'325'!$M$51:$M$52</definedName>
    <definedName name="OSRRefE21_5x_3" localSheetId="58">'326'!$M$54</definedName>
    <definedName name="OSRRefE21_5x_3" localSheetId="51">'330'!$M$59</definedName>
    <definedName name="OSRRefE21_5x_3" localSheetId="56">'331'!$M$70</definedName>
    <definedName name="OSRRefE21_5x_3" localSheetId="59">'332'!$M$53:$M$54</definedName>
    <definedName name="OSRRefE21_5x_3" localSheetId="73">'405'!$M$53:$M$54</definedName>
    <definedName name="OSRRefE21_5x_3" localSheetId="75">'411'!$M$47</definedName>
    <definedName name="OSRRefE21_5x_3" localSheetId="79">'415'!$M$53:$M$54</definedName>
    <definedName name="OSRRefE21_5x_3" localSheetId="80">'418'!$M$51</definedName>
    <definedName name="OSRRefE21_5x_3" localSheetId="86">'430'!$M$46:$M$47</definedName>
    <definedName name="OSRRefE21_5x_3" localSheetId="87">'433'!$M$54</definedName>
    <definedName name="OSRRefE21_5x_3" localSheetId="88">'444'!$M$54</definedName>
    <definedName name="OSRRefE21_5x_3" localSheetId="89">'450'!$M$54</definedName>
    <definedName name="OSRRefE21_5x_3" localSheetId="72">'491'!$M$54:$M$55</definedName>
    <definedName name="OSRRefE21_5x_3" localSheetId="85">'492'!$M$54</definedName>
    <definedName name="OSRRefE21_5x_3" localSheetId="91">'501'!$M$48:$M$49</definedName>
    <definedName name="OSRRefE21_5x_3" localSheetId="39">'Div 2'!$M$48:$M$49</definedName>
    <definedName name="OSRRefE21_5x_3" localSheetId="47">'Div 3'!$M$85:$M$86</definedName>
    <definedName name="OSRRefE21_5x_3" localSheetId="70">'Div 4'!$M$56:$M$57</definedName>
    <definedName name="OSRRefE21_5x_3" localSheetId="90">'Div 5'!$M$48:$M$49</definedName>
    <definedName name="OSRRefE21_5x_3" localSheetId="61">'Div 6'!$M$62</definedName>
    <definedName name="OSRRefE21_5x_3" localSheetId="2">Summary!$M$93:$M$94</definedName>
    <definedName name="OSRRefE21_5x_4" localSheetId="41">'201'!$N$46</definedName>
    <definedName name="OSRRefE21_5x_4" localSheetId="42">'202'!$N$46</definedName>
    <definedName name="OSRRefE21_5x_4" localSheetId="43">'203'!$N$47</definedName>
    <definedName name="OSRRefE21_5x_4" localSheetId="44">'204'!$N$50</definedName>
    <definedName name="OSRRefE21_5x_4" localSheetId="45">'205'!$N$48</definedName>
    <definedName name="OSRRefE21_5x_4" localSheetId="46">'206'!$N$47:$N$48</definedName>
    <definedName name="OSRRefE21_5x_4" localSheetId="48">'300'!$N$81:$N$82</definedName>
    <definedName name="OSRRefE21_5x_4" localSheetId="49">'300 &amp; 317'!$N$87:$N$88</definedName>
    <definedName name="OSRRefE21_5x_4" localSheetId="50">'301'!$N$48:$N$49</definedName>
    <definedName name="OSRRefE21_5x_4" localSheetId="52">'307'!$N$59</definedName>
    <definedName name="OSRRefE21_5x_4" localSheetId="53">'308'!$N$62</definedName>
    <definedName name="OSRRefE21_5x_4" localSheetId="64">'309'!$N$30</definedName>
    <definedName name="OSRRefE21_5x_4" localSheetId="63">'310'!$N$53:$N$54</definedName>
    <definedName name="OSRRefE21_5x_4" localSheetId="71">'310 &amp; 491'!$N$55:$N$56</definedName>
    <definedName name="OSRRefE21_5x_4" localSheetId="54">'311'!$N$62</definedName>
    <definedName name="OSRRefE21_5x_4" localSheetId="57">'315'!$N$70</definedName>
    <definedName name="OSRRefE21_5x_4" localSheetId="60">'316'!$N$53:$N$54</definedName>
    <definedName name="OSRRefE21_5x_4" localSheetId="62">'317'!$N$62</definedName>
    <definedName name="OSRRefE21_5x_4" localSheetId="66">'321'!$N$50</definedName>
    <definedName name="OSRRefE21_5x_4" localSheetId="68">'325'!$N$51:$N$52</definedName>
    <definedName name="OSRRefE21_5x_4" localSheetId="58">'326'!$N$54</definedName>
    <definedName name="OSRRefE21_5x_4" localSheetId="51">'330'!$N$59</definedName>
    <definedName name="OSRRefE21_5x_4" localSheetId="56">'331'!$N$70</definedName>
    <definedName name="OSRRefE21_5x_4" localSheetId="59">'332'!$N$53:$N$54</definedName>
    <definedName name="OSRRefE21_5x_4" localSheetId="73">'405'!$N$53:$N$54</definedName>
    <definedName name="OSRRefE21_5x_4" localSheetId="75">'411'!$N$47</definedName>
    <definedName name="OSRRefE21_5x_4" localSheetId="79">'415'!$N$53:$N$54</definedName>
    <definedName name="OSRRefE21_5x_4" localSheetId="80">'418'!$N$51</definedName>
    <definedName name="OSRRefE21_5x_4" localSheetId="86">'430'!$N$46:$N$47</definedName>
    <definedName name="OSRRefE21_5x_4" localSheetId="87">'433'!$N$54</definedName>
    <definedName name="OSRRefE21_5x_4" localSheetId="88">'444'!$N$54</definedName>
    <definedName name="OSRRefE21_5x_4" localSheetId="89">'450'!$N$54</definedName>
    <definedName name="OSRRefE21_5x_4" localSheetId="72">'491'!$N$54:$N$55</definedName>
    <definedName name="OSRRefE21_5x_4" localSheetId="85">'492'!$N$54</definedName>
    <definedName name="OSRRefE21_5x_4" localSheetId="91">'501'!$N$48:$N$49</definedName>
    <definedName name="OSRRefE21_5x_4" localSheetId="39">'Div 2'!$N$48:$N$49</definedName>
    <definedName name="OSRRefE21_5x_4" localSheetId="47">'Div 3'!$N$85:$N$86</definedName>
    <definedName name="OSRRefE21_5x_4" localSheetId="70">'Div 4'!$N$56:$N$57</definedName>
    <definedName name="OSRRefE21_5x_4" localSheetId="90">'Div 5'!$N$48:$N$49</definedName>
    <definedName name="OSRRefE21_5x_4" localSheetId="61">'Div 6'!$N$62</definedName>
    <definedName name="OSRRefE21_5x_4" localSheetId="2">Summary!$N$93:$N$94</definedName>
    <definedName name="OSRRefE21_5x_5" localSheetId="41">'201'!$O$46</definedName>
    <definedName name="OSRRefE21_5x_5" localSheetId="42">'202'!$O$46</definedName>
    <definedName name="OSRRefE21_5x_5" localSheetId="43">'203'!$O$47</definedName>
    <definedName name="OSRRefE21_5x_5" localSheetId="44">'204'!$O$50</definedName>
    <definedName name="OSRRefE21_5x_5" localSheetId="45">'205'!$O$48</definedName>
    <definedName name="OSRRefE21_5x_5" localSheetId="46">'206'!$O$47:$O$48</definedName>
    <definedName name="OSRRefE21_5x_5" localSheetId="48">'300'!$O$81:$O$82</definedName>
    <definedName name="OSRRefE21_5x_5" localSheetId="49">'300 &amp; 317'!$O$87:$O$88</definedName>
    <definedName name="OSRRefE21_5x_5" localSheetId="50">'301'!$O$48:$O$49</definedName>
    <definedName name="OSRRefE21_5x_5" localSheetId="52">'307'!$O$59</definedName>
    <definedName name="OSRRefE21_5x_5" localSheetId="53">'308'!$O$62</definedName>
    <definedName name="OSRRefE21_5x_5" localSheetId="64">'309'!$O$30</definedName>
    <definedName name="OSRRefE21_5x_5" localSheetId="63">'310'!$O$53:$O$54</definedName>
    <definedName name="OSRRefE21_5x_5" localSheetId="71">'310 &amp; 491'!$O$55:$O$56</definedName>
    <definedName name="OSRRefE21_5x_5" localSheetId="54">'311'!$O$62</definedName>
    <definedName name="OSRRefE21_5x_5" localSheetId="57">'315'!$O$70</definedName>
    <definedName name="OSRRefE21_5x_5" localSheetId="60">'316'!$O$53:$O$54</definedName>
    <definedName name="OSRRefE21_5x_5" localSheetId="62">'317'!$O$62</definedName>
    <definedName name="OSRRefE21_5x_5" localSheetId="66">'321'!$O$50</definedName>
    <definedName name="OSRRefE21_5x_5" localSheetId="68">'325'!$O$51:$O$52</definedName>
    <definedName name="OSRRefE21_5x_5" localSheetId="58">'326'!$O$54</definedName>
    <definedName name="OSRRefE21_5x_5" localSheetId="51">'330'!$O$59</definedName>
    <definedName name="OSRRefE21_5x_5" localSheetId="56">'331'!$O$70</definedName>
    <definedName name="OSRRefE21_5x_5" localSheetId="59">'332'!$O$53:$O$54</definedName>
    <definedName name="OSRRefE21_5x_5" localSheetId="73">'405'!$O$53:$O$54</definedName>
    <definedName name="OSRRefE21_5x_5" localSheetId="75">'411'!$O$47</definedName>
    <definedName name="OSRRefE21_5x_5" localSheetId="79">'415'!$O$53:$O$54</definedName>
    <definedName name="OSRRefE21_5x_5" localSheetId="80">'418'!$O$51</definedName>
    <definedName name="OSRRefE21_5x_5" localSheetId="86">'430'!$O$46:$O$47</definedName>
    <definedName name="OSRRefE21_5x_5" localSheetId="87">'433'!$O$54</definedName>
    <definedName name="OSRRefE21_5x_5" localSheetId="88">'444'!$O$54</definedName>
    <definedName name="OSRRefE21_5x_5" localSheetId="89">'450'!$O$54</definedName>
    <definedName name="OSRRefE21_5x_5" localSheetId="72">'491'!$O$54:$O$55</definedName>
    <definedName name="OSRRefE21_5x_5" localSheetId="85">'492'!$O$54</definedName>
    <definedName name="OSRRefE21_5x_5" localSheetId="91">'501'!$O$48:$O$49</definedName>
    <definedName name="OSRRefE21_5x_5" localSheetId="39">'Div 2'!$O$48:$O$49</definedName>
    <definedName name="OSRRefE21_5x_5" localSheetId="47">'Div 3'!$O$85:$O$86</definedName>
    <definedName name="OSRRefE21_5x_5" localSheetId="70">'Div 4'!$O$56:$O$57</definedName>
    <definedName name="OSRRefE21_5x_5" localSheetId="90">'Div 5'!$O$48:$O$49</definedName>
    <definedName name="OSRRefE21_5x_5" localSheetId="61">'Div 6'!$O$62</definedName>
    <definedName name="OSRRefE21_5x_5" localSheetId="2">Summary!$O$93:$O$94</definedName>
    <definedName name="OSRRefE21_6_0x" localSheetId="41">'201'!$J$48:$O$48</definedName>
    <definedName name="OSRRefE21_6_0x" localSheetId="42">'202'!$J$48:$O$48</definedName>
    <definedName name="OSRRefE21_6_0x" localSheetId="43">'203'!$J$49:$O$49</definedName>
    <definedName name="OSRRefE21_6_0x" localSheetId="44">'204'!$J$52:$O$52</definedName>
    <definedName name="OSRRefE21_6_0x" localSheetId="45">'205'!$J$50:$O$50</definedName>
    <definedName name="OSRRefE21_6_0x" localSheetId="48">'300'!$J$84:$O$84</definedName>
    <definedName name="OSRRefE21_6_0x" localSheetId="49">'300 &amp; 317'!$J$90:$O$90</definedName>
    <definedName name="OSRRefE21_6_0x" localSheetId="50">'301'!$J$51:$O$51</definedName>
    <definedName name="OSRRefE21_6_0x" localSheetId="52">'307'!$J$61:$O$61</definedName>
    <definedName name="OSRRefE21_6_0x" localSheetId="53">'308'!$J$64:$O$64</definedName>
    <definedName name="OSRRefE21_6_0x" localSheetId="64">'309'!$J$32:$O$32</definedName>
    <definedName name="OSRRefE21_6_0x" localSheetId="63">'310'!$J$56:$O$56</definedName>
    <definedName name="OSRRefE21_6_0x" localSheetId="71">'310 &amp; 491'!$J$58:$O$58</definedName>
    <definedName name="OSRRefE21_6_0x" localSheetId="54">'311'!$J$64:$O$64</definedName>
    <definedName name="OSRRefE21_6_0x" localSheetId="57">'315'!$J$72:$O$72</definedName>
    <definedName name="OSRRefE21_6_0x" localSheetId="60">'316'!$J$56:$O$56</definedName>
    <definedName name="OSRRefE21_6_0x" localSheetId="62">'317'!$J$64:$O$64</definedName>
    <definedName name="OSRRefE21_6_0x" localSheetId="66">'321'!$J$52:$O$52</definedName>
    <definedName name="OSRRefE21_6_0x" localSheetId="68">'325'!$J$54:$O$54</definedName>
    <definedName name="OSRRefE21_6_0x" localSheetId="58">'326'!$J$56:$O$56</definedName>
    <definedName name="OSRRefE21_6_0x" localSheetId="51">'330'!$J$61:$O$61</definedName>
    <definedName name="OSRRefE21_6_0x" localSheetId="56">'331'!$J$72:$O$72</definedName>
    <definedName name="OSRRefE21_6_0x" localSheetId="59">'332'!$J$56:$O$56</definedName>
    <definedName name="OSRRefE21_6_0x" localSheetId="73">'405'!$J$56:$O$56</definedName>
    <definedName name="OSRRefE21_6_0x" localSheetId="75">'411'!$J$49:$O$49</definedName>
    <definedName name="OSRRefE21_6_0x" localSheetId="79">'415'!$J$56:$O$56</definedName>
    <definedName name="OSRRefE21_6_0x" localSheetId="80">'418'!$J$53:$O$53</definedName>
    <definedName name="OSRRefE21_6_0x" localSheetId="86">'430'!$J$49:$O$49</definedName>
    <definedName name="OSRRefE21_6_0x" localSheetId="87">'433'!$J$56:$O$56</definedName>
    <definedName name="OSRRefE21_6_0x" localSheetId="88">'444'!$J$56:$O$56</definedName>
    <definedName name="OSRRefE21_6_0x" localSheetId="89">'450'!$J$56:$O$56</definedName>
    <definedName name="OSRRefE21_6_0x" localSheetId="72">'491'!$J$57:$O$57</definedName>
    <definedName name="OSRRefE21_6_0x" localSheetId="85">'492'!$J$56:$O$56</definedName>
    <definedName name="OSRRefE21_6_0x" localSheetId="91">'501'!$J$51:$O$51</definedName>
    <definedName name="OSRRefE21_6_0x" localSheetId="39">'Div 2'!$J$51:$O$51</definedName>
    <definedName name="OSRRefE21_6_0x" localSheetId="47">'Div 3'!$J$88:$O$88</definedName>
    <definedName name="OSRRefE21_6_0x" localSheetId="70">'Div 4'!$J$59:$O$59</definedName>
    <definedName name="OSRRefE21_6_0x" localSheetId="90">'Div 5'!$J$51:$O$51</definedName>
    <definedName name="OSRRefE21_6_0x" localSheetId="61">'Div 6'!$J$64:$O$64</definedName>
    <definedName name="OSRRefE21_6_0x" localSheetId="2">Summary!$J$96:$O$96</definedName>
    <definedName name="OSRRefE21_6_1x" localSheetId="45">'205'!$J$51:$O$51</definedName>
    <definedName name="OSRRefE21_6_1x" localSheetId="48">'300'!$J$85:$O$85</definedName>
    <definedName name="OSRRefE21_6_1x" localSheetId="49">'300 &amp; 317'!$J$91:$O$91</definedName>
    <definedName name="OSRRefE21_6_1x" localSheetId="50">'301'!$J$52:$O$52</definedName>
    <definedName name="OSRRefE21_6_1x" localSheetId="66">'321'!$J$53:$O$53</definedName>
    <definedName name="OSRRefE21_6_1x" localSheetId="86">'430'!$J$50:$O$50</definedName>
    <definedName name="OSRRefE21_6_1x" localSheetId="47">'Div 3'!$J$89:$O$89</definedName>
    <definedName name="OSRRefE21_6_1x" localSheetId="2">Summary!$J$97:$O$97</definedName>
    <definedName name="OSRRefE21_6x_0" localSheetId="41">'201'!$J$48</definedName>
    <definedName name="OSRRefE21_6x_0" localSheetId="42">'202'!$J$48</definedName>
    <definedName name="OSRRefE21_6x_0" localSheetId="43">'203'!$J$49</definedName>
    <definedName name="OSRRefE21_6x_0" localSheetId="44">'204'!$J$52</definedName>
    <definedName name="OSRRefE21_6x_0" localSheetId="45">'205'!$J$50:$J$51</definedName>
    <definedName name="OSRRefE21_6x_0" localSheetId="48">'300'!$J$84:$J$85</definedName>
    <definedName name="OSRRefE21_6x_0" localSheetId="49">'300 &amp; 317'!$J$90:$J$91</definedName>
    <definedName name="OSRRefE21_6x_0" localSheetId="50">'301'!$J$51:$J$52</definedName>
    <definedName name="OSRRefE21_6x_0" localSheetId="52">'307'!$J$61</definedName>
    <definedName name="OSRRefE21_6x_0" localSheetId="53">'308'!$J$64</definedName>
    <definedName name="OSRRefE21_6x_0" localSheetId="64">'309'!$J$32</definedName>
    <definedName name="OSRRefE21_6x_0" localSheetId="63">'310'!$J$56</definedName>
    <definedName name="OSRRefE21_6x_0" localSheetId="71">'310 &amp; 491'!$J$58</definedName>
    <definedName name="OSRRefE21_6x_0" localSheetId="54">'311'!$J$64</definedName>
    <definedName name="OSRRefE21_6x_0" localSheetId="57">'315'!$J$72</definedName>
    <definedName name="OSRRefE21_6x_0" localSheetId="60">'316'!$J$56</definedName>
    <definedName name="OSRRefE21_6x_0" localSheetId="62">'317'!$J$64</definedName>
    <definedName name="OSRRefE21_6x_0" localSheetId="66">'321'!$J$52:$J$53</definedName>
    <definedName name="OSRRefE21_6x_0" localSheetId="68">'325'!$J$54</definedName>
    <definedName name="OSRRefE21_6x_0" localSheetId="58">'326'!$J$56</definedName>
    <definedName name="OSRRefE21_6x_0" localSheetId="51">'330'!$J$61</definedName>
    <definedName name="OSRRefE21_6x_0" localSheetId="56">'331'!$J$72</definedName>
    <definedName name="OSRRefE21_6x_0" localSheetId="59">'332'!$J$56</definedName>
    <definedName name="OSRRefE21_6x_0" localSheetId="73">'405'!$J$56</definedName>
    <definedName name="OSRRefE21_6x_0" localSheetId="75">'411'!$J$49</definedName>
    <definedName name="OSRRefE21_6x_0" localSheetId="79">'415'!$J$56</definedName>
    <definedName name="OSRRefE21_6x_0" localSheetId="80">'418'!$J$53</definedName>
    <definedName name="OSRRefE21_6x_0" localSheetId="86">'430'!$J$49:$J$50</definedName>
    <definedName name="OSRRefE21_6x_0" localSheetId="87">'433'!$J$56</definedName>
    <definedName name="OSRRefE21_6x_0" localSheetId="88">'444'!$J$56</definedName>
    <definedName name="OSRRefE21_6x_0" localSheetId="89">'450'!$J$56</definedName>
    <definedName name="OSRRefE21_6x_0" localSheetId="72">'491'!$J$57</definedName>
    <definedName name="OSRRefE21_6x_0" localSheetId="85">'492'!$J$56</definedName>
    <definedName name="OSRRefE21_6x_0" localSheetId="91">'501'!$J$51</definedName>
    <definedName name="OSRRefE21_6x_0" localSheetId="39">'Div 2'!$J$51</definedName>
    <definedName name="OSRRefE21_6x_0" localSheetId="47">'Div 3'!$J$88:$J$89</definedName>
    <definedName name="OSRRefE21_6x_0" localSheetId="70">'Div 4'!$J$59</definedName>
    <definedName name="OSRRefE21_6x_0" localSheetId="90">'Div 5'!$J$51</definedName>
    <definedName name="OSRRefE21_6x_0" localSheetId="61">'Div 6'!$J$64</definedName>
    <definedName name="OSRRefE21_6x_0" localSheetId="2">Summary!$J$96:$J$97</definedName>
    <definedName name="OSRRefE21_6x_1" localSheetId="41">'201'!$K$48</definedName>
    <definedName name="OSRRefE21_6x_1" localSheetId="42">'202'!$K$48</definedName>
    <definedName name="OSRRefE21_6x_1" localSheetId="43">'203'!$K$49</definedName>
    <definedName name="OSRRefE21_6x_1" localSheetId="44">'204'!$K$52</definedName>
    <definedName name="OSRRefE21_6x_1" localSheetId="45">'205'!$K$50:$K$51</definedName>
    <definedName name="OSRRefE21_6x_1" localSheetId="48">'300'!$K$84:$K$85</definedName>
    <definedName name="OSRRefE21_6x_1" localSheetId="49">'300 &amp; 317'!$K$90:$K$91</definedName>
    <definedName name="OSRRefE21_6x_1" localSheetId="50">'301'!$K$51:$K$52</definedName>
    <definedName name="OSRRefE21_6x_1" localSheetId="52">'307'!$K$61</definedName>
    <definedName name="OSRRefE21_6x_1" localSheetId="53">'308'!$K$64</definedName>
    <definedName name="OSRRefE21_6x_1" localSheetId="64">'309'!$K$32</definedName>
    <definedName name="OSRRefE21_6x_1" localSheetId="63">'310'!$K$56</definedName>
    <definedName name="OSRRefE21_6x_1" localSheetId="71">'310 &amp; 491'!$K$58</definedName>
    <definedName name="OSRRefE21_6x_1" localSheetId="54">'311'!$K$64</definedName>
    <definedName name="OSRRefE21_6x_1" localSheetId="57">'315'!$K$72</definedName>
    <definedName name="OSRRefE21_6x_1" localSheetId="60">'316'!$K$56</definedName>
    <definedName name="OSRRefE21_6x_1" localSheetId="62">'317'!$K$64</definedName>
    <definedName name="OSRRefE21_6x_1" localSheetId="66">'321'!$K$52:$K$53</definedName>
    <definedName name="OSRRefE21_6x_1" localSheetId="68">'325'!$K$54</definedName>
    <definedName name="OSRRefE21_6x_1" localSheetId="58">'326'!$K$56</definedName>
    <definedName name="OSRRefE21_6x_1" localSheetId="51">'330'!$K$61</definedName>
    <definedName name="OSRRefE21_6x_1" localSheetId="56">'331'!$K$72</definedName>
    <definedName name="OSRRefE21_6x_1" localSheetId="59">'332'!$K$56</definedName>
    <definedName name="OSRRefE21_6x_1" localSheetId="73">'405'!$K$56</definedName>
    <definedName name="OSRRefE21_6x_1" localSheetId="75">'411'!$K$49</definedName>
    <definedName name="OSRRefE21_6x_1" localSheetId="79">'415'!$K$56</definedName>
    <definedName name="OSRRefE21_6x_1" localSheetId="80">'418'!$K$53</definedName>
    <definedName name="OSRRefE21_6x_1" localSheetId="86">'430'!$K$49:$K$50</definedName>
    <definedName name="OSRRefE21_6x_1" localSheetId="87">'433'!$K$56</definedName>
    <definedName name="OSRRefE21_6x_1" localSheetId="88">'444'!$K$56</definedName>
    <definedName name="OSRRefE21_6x_1" localSheetId="89">'450'!$K$56</definedName>
    <definedName name="OSRRefE21_6x_1" localSheetId="72">'491'!$K$57</definedName>
    <definedName name="OSRRefE21_6x_1" localSheetId="85">'492'!$K$56</definedName>
    <definedName name="OSRRefE21_6x_1" localSheetId="91">'501'!$K$51</definedName>
    <definedName name="OSRRefE21_6x_1" localSheetId="39">'Div 2'!$K$51</definedName>
    <definedName name="OSRRefE21_6x_1" localSheetId="47">'Div 3'!$K$88:$K$89</definedName>
    <definedName name="OSRRefE21_6x_1" localSheetId="70">'Div 4'!$K$59</definedName>
    <definedName name="OSRRefE21_6x_1" localSheetId="90">'Div 5'!$K$51</definedName>
    <definedName name="OSRRefE21_6x_1" localSheetId="61">'Div 6'!$K$64</definedName>
    <definedName name="OSRRefE21_6x_1" localSheetId="2">Summary!$K$96:$K$97</definedName>
    <definedName name="OSRRefE21_6x_2" localSheetId="41">'201'!$L$48</definedName>
    <definedName name="OSRRefE21_6x_2" localSheetId="42">'202'!$L$48</definedName>
    <definedName name="OSRRefE21_6x_2" localSheetId="43">'203'!$L$49</definedName>
    <definedName name="OSRRefE21_6x_2" localSheetId="44">'204'!$L$52</definedName>
    <definedName name="OSRRefE21_6x_2" localSheetId="45">'205'!$L$50:$L$51</definedName>
    <definedName name="OSRRefE21_6x_2" localSheetId="48">'300'!$L$84:$L$85</definedName>
    <definedName name="OSRRefE21_6x_2" localSheetId="49">'300 &amp; 317'!$L$90:$L$91</definedName>
    <definedName name="OSRRefE21_6x_2" localSheetId="50">'301'!$L$51:$L$52</definedName>
    <definedName name="OSRRefE21_6x_2" localSheetId="52">'307'!$L$61</definedName>
    <definedName name="OSRRefE21_6x_2" localSheetId="53">'308'!$L$64</definedName>
    <definedName name="OSRRefE21_6x_2" localSheetId="64">'309'!$L$32</definedName>
    <definedName name="OSRRefE21_6x_2" localSheetId="63">'310'!$L$56</definedName>
    <definedName name="OSRRefE21_6x_2" localSheetId="71">'310 &amp; 491'!$L$58</definedName>
    <definedName name="OSRRefE21_6x_2" localSheetId="54">'311'!$L$64</definedName>
    <definedName name="OSRRefE21_6x_2" localSheetId="57">'315'!$L$72</definedName>
    <definedName name="OSRRefE21_6x_2" localSheetId="60">'316'!$L$56</definedName>
    <definedName name="OSRRefE21_6x_2" localSheetId="62">'317'!$L$64</definedName>
    <definedName name="OSRRefE21_6x_2" localSheetId="66">'321'!$L$52:$L$53</definedName>
    <definedName name="OSRRefE21_6x_2" localSheetId="68">'325'!$L$54</definedName>
    <definedName name="OSRRefE21_6x_2" localSheetId="58">'326'!$L$56</definedName>
    <definedName name="OSRRefE21_6x_2" localSheetId="51">'330'!$L$61</definedName>
    <definedName name="OSRRefE21_6x_2" localSheetId="56">'331'!$L$72</definedName>
    <definedName name="OSRRefE21_6x_2" localSheetId="59">'332'!$L$56</definedName>
    <definedName name="OSRRefE21_6x_2" localSheetId="73">'405'!$L$56</definedName>
    <definedName name="OSRRefE21_6x_2" localSheetId="75">'411'!$L$49</definedName>
    <definedName name="OSRRefE21_6x_2" localSheetId="79">'415'!$L$56</definedName>
    <definedName name="OSRRefE21_6x_2" localSheetId="80">'418'!$L$53</definedName>
    <definedName name="OSRRefE21_6x_2" localSheetId="86">'430'!$L$49:$L$50</definedName>
    <definedName name="OSRRefE21_6x_2" localSheetId="87">'433'!$L$56</definedName>
    <definedName name="OSRRefE21_6x_2" localSheetId="88">'444'!$L$56</definedName>
    <definedName name="OSRRefE21_6x_2" localSheetId="89">'450'!$L$56</definedName>
    <definedName name="OSRRefE21_6x_2" localSheetId="72">'491'!$L$57</definedName>
    <definedName name="OSRRefE21_6x_2" localSheetId="85">'492'!$L$56</definedName>
    <definedName name="OSRRefE21_6x_2" localSheetId="91">'501'!$L$51</definedName>
    <definedName name="OSRRefE21_6x_2" localSheetId="39">'Div 2'!$L$51</definedName>
    <definedName name="OSRRefE21_6x_2" localSheetId="47">'Div 3'!$L$88:$L$89</definedName>
    <definedName name="OSRRefE21_6x_2" localSheetId="70">'Div 4'!$L$59</definedName>
    <definedName name="OSRRefE21_6x_2" localSheetId="90">'Div 5'!$L$51</definedName>
    <definedName name="OSRRefE21_6x_2" localSheetId="61">'Div 6'!$L$64</definedName>
    <definedName name="OSRRefE21_6x_2" localSheetId="2">Summary!$L$96:$L$97</definedName>
    <definedName name="OSRRefE21_6x_3" localSheetId="41">'201'!$M$48</definedName>
    <definedName name="OSRRefE21_6x_3" localSheetId="42">'202'!$M$48</definedName>
    <definedName name="OSRRefE21_6x_3" localSheetId="43">'203'!$M$49</definedName>
    <definedName name="OSRRefE21_6x_3" localSheetId="44">'204'!$M$52</definedName>
    <definedName name="OSRRefE21_6x_3" localSheetId="45">'205'!$M$50:$M$51</definedName>
    <definedName name="OSRRefE21_6x_3" localSheetId="48">'300'!$M$84:$M$85</definedName>
    <definedName name="OSRRefE21_6x_3" localSheetId="49">'300 &amp; 317'!$M$90:$M$91</definedName>
    <definedName name="OSRRefE21_6x_3" localSheetId="50">'301'!$M$51:$M$52</definedName>
    <definedName name="OSRRefE21_6x_3" localSheetId="52">'307'!$M$61</definedName>
    <definedName name="OSRRefE21_6x_3" localSheetId="53">'308'!$M$64</definedName>
    <definedName name="OSRRefE21_6x_3" localSheetId="64">'309'!$M$32</definedName>
    <definedName name="OSRRefE21_6x_3" localSheetId="63">'310'!$M$56</definedName>
    <definedName name="OSRRefE21_6x_3" localSheetId="71">'310 &amp; 491'!$M$58</definedName>
    <definedName name="OSRRefE21_6x_3" localSheetId="54">'311'!$M$64</definedName>
    <definedName name="OSRRefE21_6x_3" localSheetId="57">'315'!$M$72</definedName>
    <definedName name="OSRRefE21_6x_3" localSheetId="60">'316'!$M$56</definedName>
    <definedName name="OSRRefE21_6x_3" localSheetId="62">'317'!$M$64</definedName>
    <definedName name="OSRRefE21_6x_3" localSheetId="66">'321'!$M$52:$M$53</definedName>
    <definedName name="OSRRefE21_6x_3" localSheetId="68">'325'!$M$54</definedName>
    <definedName name="OSRRefE21_6x_3" localSheetId="58">'326'!$M$56</definedName>
    <definedName name="OSRRefE21_6x_3" localSheetId="51">'330'!$M$61</definedName>
    <definedName name="OSRRefE21_6x_3" localSheetId="56">'331'!$M$72</definedName>
    <definedName name="OSRRefE21_6x_3" localSheetId="59">'332'!$M$56</definedName>
    <definedName name="OSRRefE21_6x_3" localSheetId="73">'405'!$M$56</definedName>
    <definedName name="OSRRefE21_6x_3" localSheetId="75">'411'!$M$49</definedName>
    <definedName name="OSRRefE21_6x_3" localSheetId="79">'415'!$M$56</definedName>
    <definedName name="OSRRefE21_6x_3" localSheetId="80">'418'!$M$53</definedName>
    <definedName name="OSRRefE21_6x_3" localSheetId="86">'430'!$M$49:$M$50</definedName>
    <definedName name="OSRRefE21_6x_3" localSheetId="87">'433'!$M$56</definedName>
    <definedName name="OSRRefE21_6x_3" localSheetId="88">'444'!$M$56</definedName>
    <definedName name="OSRRefE21_6x_3" localSheetId="89">'450'!$M$56</definedName>
    <definedName name="OSRRefE21_6x_3" localSheetId="72">'491'!$M$57</definedName>
    <definedName name="OSRRefE21_6x_3" localSheetId="85">'492'!$M$56</definedName>
    <definedName name="OSRRefE21_6x_3" localSheetId="91">'501'!$M$51</definedName>
    <definedName name="OSRRefE21_6x_3" localSheetId="39">'Div 2'!$M$51</definedName>
    <definedName name="OSRRefE21_6x_3" localSheetId="47">'Div 3'!$M$88:$M$89</definedName>
    <definedName name="OSRRefE21_6x_3" localSheetId="70">'Div 4'!$M$59</definedName>
    <definedName name="OSRRefE21_6x_3" localSheetId="90">'Div 5'!$M$51</definedName>
    <definedName name="OSRRefE21_6x_3" localSheetId="61">'Div 6'!$M$64</definedName>
    <definedName name="OSRRefE21_6x_3" localSheetId="2">Summary!$M$96:$M$97</definedName>
    <definedName name="OSRRefE21_6x_4" localSheetId="41">'201'!$N$48</definedName>
    <definedName name="OSRRefE21_6x_4" localSheetId="42">'202'!$N$48</definedName>
    <definedName name="OSRRefE21_6x_4" localSheetId="43">'203'!$N$49</definedName>
    <definedName name="OSRRefE21_6x_4" localSheetId="44">'204'!$N$52</definedName>
    <definedName name="OSRRefE21_6x_4" localSheetId="45">'205'!$N$50:$N$51</definedName>
    <definedName name="OSRRefE21_6x_4" localSheetId="48">'300'!$N$84:$N$85</definedName>
    <definedName name="OSRRefE21_6x_4" localSheetId="49">'300 &amp; 317'!$N$90:$N$91</definedName>
    <definedName name="OSRRefE21_6x_4" localSheetId="50">'301'!$N$51:$N$52</definedName>
    <definedName name="OSRRefE21_6x_4" localSheetId="52">'307'!$N$61</definedName>
    <definedName name="OSRRefE21_6x_4" localSheetId="53">'308'!$N$64</definedName>
    <definedName name="OSRRefE21_6x_4" localSheetId="64">'309'!$N$32</definedName>
    <definedName name="OSRRefE21_6x_4" localSheetId="63">'310'!$N$56</definedName>
    <definedName name="OSRRefE21_6x_4" localSheetId="71">'310 &amp; 491'!$N$58</definedName>
    <definedName name="OSRRefE21_6x_4" localSheetId="54">'311'!$N$64</definedName>
    <definedName name="OSRRefE21_6x_4" localSheetId="57">'315'!$N$72</definedName>
    <definedName name="OSRRefE21_6x_4" localSheetId="60">'316'!$N$56</definedName>
    <definedName name="OSRRefE21_6x_4" localSheetId="62">'317'!$N$64</definedName>
    <definedName name="OSRRefE21_6x_4" localSheetId="66">'321'!$N$52:$N$53</definedName>
    <definedName name="OSRRefE21_6x_4" localSheetId="68">'325'!$N$54</definedName>
    <definedName name="OSRRefE21_6x_4" localSheetId="58">'326'!$N$56</definedName>
    <definedName name="OSRRefE21_6x_4" localSheetId="51">'330'!$N$61</definedName>
    <definedName name="OSRRefE21_6x_4" localSheetId="56">'331'!$N$72</definedName>
    <definedName name="OSRRefE21_6x_4" localSheetId="59">'332'!$N$56</definedName>
    <definedName name="OSRRefE21_6x_4" localSheetId="73">'405'!$N$56</definedName>
    <definedName name="OSRRefE21_6x_4" localSheetId="75">'411'!$N$49</definedName>
    <definedName name="OSRRefE21_6x_4" localSheetId="79">'415'!$N$56</definedName>
    <definedName name="OSRRefE21_6x_4" localSheetId="80">'418'!$N$53</definedName>
    <definedName name="OSRRefE21_6x_4" localSheetId="86">'430'!$N$49:$N$50</definedName>
    <definedName name="OSRRefE21_6x_4" localSheetId="87">'433'!$N$56</definedName>
    <definedName name="OSRRefE21_6x_4" localSheetId="88">'444'!$N$56</definedName>
    <definedName name="OSRRefE21_6x_4" localSheetId="89">'450'!$N$56</definedName>
    <definedName name="OSRRefE21_6x_4" localSheetId="72">'491'!$N$57</definedName>
    <definedName name="OSRRefE21_6x_4" localSheetId="85">'492'!$N$56</definedName>
    <definedName name="OSRRefE21_6x_4" localSheetId="91">'501'!$N$51</definedName>
    <definedName name="OSRRefE21_6x_4" localSheetId="39">'Div 2'!$N$51</definedName>
    <definedName name="OSRRefE21_6x_4" localSheetId="47">'Div 3'!$N$88:$N$89</definedName>
    <definedName name="OSRRefE21_6x_4" localSheetId="70">'Div 4'!$N$59</definedName>
    <definedName name="OSRRefE21_6x_4" localSheetId="90">'Div 5'!$N$51</definedName>
    <definedName name="OSRRefE21_6x_4" localSheetId="61">'Div 6'!$N$64</definedName>
    <definedName name="OSRRefE21_6x_4" localSheetId="2">Summary!$N$96:$N$97</definedName>
    <definedName name="OSRRefE21_6x_5" localSheetId="41">'201'!$O$48</definedName>
    <definedName name="OSRRefE21_6x_5" localSheetId="42">'202'!$O$48</definedName>
    <definedName name="OSRRefE21_6x_5" localSheetId="43">'203'!$O$49</definedName>
    <definedName name="OSRRefE21_6x_5" localSheetId="44">'204'!$O$52</definedName>
    <definedName name="OSRRefE21_6x_5" localSheetId="45">'205'!$O$50:$O$51</definedName>
    <definedName name="OSRRefE21_6x_5" localSheetId="48">'300'!$O$84:$O$85</definedName>
    <definedName name="OSRRefE21_6x_5" localSheetId="49">'300 &amp; 317'!$O$90:$O$91</definedName>
    <definedName name="OSRRefE21_6x_5" localSheetId="50">'301'!$O$51:$O$52</definedName>
    <definedName name="OSRRefE21_6x_5" localSheetId="52">'307'!$O$61</definedName>
    <definedName name="OSRRefE21_6x_5" localSheetId="53">'308'!$O$64</definedName>
    <definedName name="OSRRefE21_6x_5" localSheetId="64">'309'!$O$32</definedName>
    <definedName name="OSRRefE21_6x_5" localSheetId="63">'310'!$O$56</definedName>
    <definedName name="OSRRefE21_6x_5" localSheetId="71">'310 &amp; 491'!$O$58</definedName>
    <definedName name="OSRRefE21_6x_5" localSheetId="54">'311'!$O$64</definedName>
    <definedName name="OSRRefE21_6x_5" localSheetId="57">'315'!$O$72</definedName>
    <definedName name="OSRRefE21_6x_5" localSheetId="60">'316'!$O$56</definedName>
    <definedName name="OSRRefE21_6x_5" localSheetId="62">'317'!$O$64</definedName>
    <definedName name="OSRRefE21_6x_5" localSheetId="66">'321'!$O$52:$O$53</definedName>
    <definedName name="OSRRefE21_6x_5" localSheetId="68">'325'!$O$54</definedName>
    <definedName name="OSRRefE21_6x_5" localSheetId="58">'326'!$O$56</definedName>
    <definedName name="OSRRefE21_6x_5" localSheetId="51">'330'!$O$61</definedName>
    <definedName name="OSRRefE21_6x_5" localSheetId="56">'331'!$O$72</definedName>
    <definedName name="OSRRefE21_6x_5" localSheetId="59">'332'!$O$56</definedName>
    <definedName name="OSRRefE21_6x_5" localSheetId="73">'405'!$O$56</definedName>
    <definedName name="OSRRefE21_6x_5" localSheetId="75">'411'!$O$49</definedName>
    <definedName name="OSRRefE21_6x_5" localSheetId="79">'415'!$O$56</definedName>
    <definedName name="OSRRefE21_6x_5" localSheetId="80">'418'!$O$53</definedName>
    <definedName name="OSRRefE21_6x_5" localSheetId="86">'430'!$O$49:$O$50</definedName>
    <definedName name="OSRRefE21_6x_5" localSheetId="87">'433'!$O$56</definedName>
    <definedName name="OSRRefE21_6x_5" localSheetId="88">'444'!$O$56</definedName>
    <definedName name="OSRRefE21_6x_5" localSheetId="89">'450'!$O$56</definedName>
    <definedName name="OSRRefE21_6x_5" localSheetId="72">'491'!$O$57</definedName>
    <definedName name="OSRRefE21_6x_5" localSheetId="85">'492'!$O$56</definedName>
    <definedName name="OSRRefE21_6x_5" localSheetId="91">'501'!$O$51</definedName>
    <definedName name="OSRRefE21_6x_5" localSheetId="39">'Div 2'!$O$51</definedName>
    <definedName name="OSRRefE21_6x_5" localSheetId="47">'Div 3'!$O$88:$O$89</definedName>
    <definedName name="OSRRefE21_6x_5" localSheetId="70">'Div 4'!$O$59</definedName>
    <definedName name="OSRRefE21_6x_5" localSheetId="90">'Div 5'!$O$51</definedName>
    <definedName name="OSRRefE21_6x_5" localSheetId="61">'Div 6'!$O$64</definedName>
    <definedName name="OSRRefE21_6x_5" localSheetId="2">Summary!$O$96:$O$97</definedName>
    <definedName name="OSRRefE21_7_0x" localSheetId="41">'201'!$J$50:$O$50</definedName>
    <definedName name="OSRRefE21_7_0x" localSheetId="42">'202'!$J$50:$O$50</definedName>
    <definedName name="OSRRefE21_7_0x" localSheetId="43">'203'!$J$51:$O$51</definedName>
    <definedName name="OSRRefE21_7_0x" localSheetId="44">'204'!$J$54:$O$54</definedName>
    <definedName name="OSRRefE21_7_0x" localSheetId="45">'205'!$J$53:$O$53</definedName>
    <definedName name="OSRRefE21_7_0x" localSheetId="48">'300'!$J$87:$O$87</definedName>
    <definedName name="OSRRefE21_7_0x" localSheetId="49">'300 &amp; 317'!$J$93:$O$93</definedName>
    <definedName name="OSRRefE21_7_0x" localSheetId="50">'301'!$J$54:$O$54</definedName>
    <definedName name="OSRRefE21_7_0x" localSheetId="52">'307'!$J$63:$O$63</definedName>
    <definedName name="OSRRefE21_7_0x" localSheetId="53">'308'!$J$66:$O$66</definedName>
    <definedName name="OSRRefE21_7_0x" localSheetId="63">'310'!$J$58:$O$58</definedName>
    <definedName name="OSRRefE21_7_0x" localSheetId="71">'310 &amp; 491'!$J$60:$O$60</definedName>
    <definedName name="OSRRefE21_7_0x" localSheetId="54">'311'!$J$66:$O$66</definedName>
    <definedName name="OSRRefE21_7_0x" localSheetId="57">'315'!$J$74:$O$74</definedName>
    <definedName name="OSRRefE21_7_0x" localSheetId="60">'316'!$J$58:$O$58</definedName>
    <definedName name="OSRRefE21_7_0x" localSheetId="62">'317'!$J$66:$O$66</definedName>
    <definedName name="OSRRefE21_7_0x" localSheetId="66">'321'!$J$55:$O$55</definedName>
    <definedName name="OSRRefE21_7_0x" localSheetId="68">'325'!$J$56:$O$56</definedName>
    <definedName name="OSRRefE21_7_0x" localSheetId="58">'326'!$J$58:$O$58</definedName>
    <definedName name="OSRRefE21_7_0x" localSheetId="51">'330'!$J$63:$O$63</definedName>
    <definedName name="OSRRefE21_7_0x" localSheetId="56">'331'!$J$74:$O$74</definedName>
    <definedName name="OSRRefE21_7_0x" localSheetId="59">'332'!$J$58:$O$58</definedName>
    <definedName name="OSRRefE21_7_0x" localSheetId="73">'405'!$J$58:$O$58</definedName>
    <definedName name="OSRRefE21_7_0x" localSheetId="75">'411'!$J$51:$O$51</definedName>
    <definedName name="OSRRefE21_7_0x" localSheetId="79">'415'!$J$58:$O$58</definedName>
    <definedName name="OSRRefE21_7_0x" localSheetId="80">'418'!$J$55:$O$55</definedName>
    <definedName name="OSRRefE21_7_0x" localSheetId="86">'430'!$J$52:$O$52</definedName>
    <definedName name="OSRRefE21_7_0x" localSheetId="87">'433'!$J$58:$O$58</definedName>
    <definedName name="OSRRefE21_7_0x" localSheetId="88">'444'!$J$58:$O$58</definedName>
    <definedName name="OSRRefE21_7_0x" localSheetId="89">'450'!$J$58:$O$58</definedName>
    <definedName name="OSRRefE21_7_0x" localSheetId="72">'491'!$J$59:$O$59</definedName>
    <definedName name="OSRRefE21_7_0x" localSheetId="85">'492'!$J$58:$O$58</definedName>
    <definedName name="OSRRefE21_7_0x" localSheetId="91">'501'!$J$53:$O$53</definedName>
    <definedName name="OSRRefE21_7_0x" localSheetId="39">'Div 2'!$J$53:$O$53</definedName>
    <definedName name="OSRRefE21_7_0x" localSheetId="47">'Div 3'!$J$91:$O$91</definedName>
    <definedName name="OSRRefE21_7_0x" localSheetId="70">'Div 4'!$J$61:$O$61</definedName>
    <definedName name="OSRRefE21_7_0x" localSheetId="90">'Div 5'!$J$53:$O$53</definedName>
    <definedName name="OSRRefE21_7_0x" localSheetId="61">'Div 6'!$J$66:$O$66</definedName>
    <definedName name="OSRRefE21_7_0x" localSheetId="2">Summary!$J$99:$O$99</definedName>
    <definedName name="OSRRefE21_7_1x" localSheetId="42">'202'!$J$51:$O$51</definedName>
    <definedName name="OSRRefE21_7_1x" localSheetId="44">'204'!$J$55:$O$55</definedName>
    <definedName name="OSRRefE21_7_1x" localSheetId="60">'316'!$J$59:$O$59</definedName>
    <definedName name="OSRRefE21_7_1x" localSheetId="59">'332'!$J$59:$O$59</definedName>
    <definedName name="OSRRefE21_7_1x" localSheetId="80">'418'!$J$56:$O$56</definedName>
    <definedName name="OSRRefE21_7_2x" localSheetId="42">'202'!$J$52:$O$52</definedName>
    <definedName name="OSRRefE21_7x_0" localSheetId="41">'201'!$J$50</definedName>
    <definedName name="OSRRefE21_7x_0" localSheetId="42">'202'!$J$50:$J$52</definedName>
    <definedName name="OSRRefE21_7x_0" localSheetId="43">'203'!$J$51</definedName>
    <definedName name="OSRRefE21_7x_0" localSheetId="44">'204'!$J$54:$J$55</definedName>
    <definedName name="OSRRefE21_7x_0" localSheetId="45">'205'!$J$53</definedName>
    <definedName name="OSRRefE21_7x_0" localSheetId="48">'300'!$J$87</definedName>
    <definedName name="OSRRefE21_7x_0" localSheetId="49">'300 &amp; 317'!$J$93</definedName>
    <definedName name="OSRRefE21_7x_0" localSheetId="50">'301'!$J$54</definedName>
    <definedName name="OSRRefE21_7x_0" localSheetId="52">'307'!$J$63</definedName>
    <definedName name="OSRRefE21_7x_0" localSheetId="53">'308'!$J$66</definedName>
    <definedName name="OSRRefE21_7x_0" localSheetId="63">'310'!$J$58</definedName>
    <definedName name="OSRRefE21_7x_0" localSheetId="71">'310 &amp; 491'!$J$60</definedName>
    <definedName name="OSRRefE21_7x_0" localSheetId="54">'311'!$J$66</definedName>
    <definedName name="OSRRefE21_7x_0" localSheetId="57">'315'!$J$74</definedName>
    <definedName name="OSRRefE21_7x_0" localSheetId="60">'316'!$J$58:$J$59</definedName>
    <definedName name="OSRRefE21_7x_0" localSheetId="62">'317'!$J$66</definedName>
    <definedName name="OSRRefE21_7x_0" localSheetId="66">'321'!$J$55</definedName>
    <definedName name="OSRRefE21_7x_0" localSheetId="68">'325'!$J$56</definedName>
    <definedName name="OSRRefE21_7x_0" localSheetId="58">'326'!$J$58</definedName>
    <definedName name="OSRRefE21_7x_0" localSheetId="51">'330'!$J$63</definedName>
    <definedName name="OSRRefE21_7x_0" localSheetId="56">'331'!$J$74</definedName>
    <definedName name="OSRRefE21_7x_0" localSheetId="59">'332'!$J$58:$J$59</definedName>
    <definedName name="OSRRefE21_7x_0" localSheetId="73">'405'!$J$58</definedName>
    <definedName name="OSRRefE21_7x_0" localSheetId="75">'411'!$J$51</definedName>
    <definedName name="OSRRefE21_7x_0" localSheetId="79">'415'!$J$58</definedName>
    <definedName name="OSRRefE21_7x_0" localSheetId="80">'418'!$J$55:$J$56</definedName>
    <definedName name="OSRRefE21_7x_0" localSheetId="86">'430'!$J$52</definedName>
    <definedName name="OSRRefE21_7x_0" localSheetId="87">'433'!$J$58</definedName>
    <definedName name="OSRRefE21_7x_0" localSheetId="88">'444'!$J$58</definedName>
    <definedName name="OSRRefE21_7x_0" localSheetId="89">'450'!$J$58</definedName>
    <definedName name="OSRRefE21_7x_0" localSheetId="72">'491'!$J$59</definedName>
    <definedName name="OSRRefE21_7x_0" localSheetId="85">'492'!$J$58</definedName>
    <definedName name="OSRRefE21_7x_0" localSheetId="91">'501'!$J$53</definedName>
    <definedName name="OSRRefE21_7x_0" localSheetId="39">'Div 2'!$J$53</definedName>
    <definedName name="OSRRefE21_7x_0" localSheetId="47">'Div 3'!$J$91</definedName>
    <definedName name="OSRRefE21_7x_0" localSheetId="70">'Div 4'!$J$61</definedName>
    <definedName name="OSRRefE21_7x_0" localSheetId="90">'Div 5'!$J$53</definedName>
    <definedName name="OSRRefE21_7x_0" localSheetId="61">'Div 6'!$J$66</definedName>
    <definedName name="OSRRefE21_7x_0" localSheetId="2">Summary!$J$99</definedName>
    <definedName name="OSRRefE21_7x_1" localSheetId="41">'201'!$K$50</definedName>
    <definedName name="OSRRefE21_7x_1" localSheetId="42">'202'!$K$50:$K$52</definedName>
    <definedName name="OSRRefE21_7x_1" localSheetId="43">'203'!$K$51</definedName>
    <definedName name="OSRRefE21_7x_1" localSheetId="44">'204'!$K$54:$K$55</definedName>
    <definedName name="OSRRefE21_7x_1" localSheetId="45">'205'!$K$53</definedName>
    <definedName name="OSRRefE21_7x_1" localSheetId="48">'300'!$K$87</definedName>
    <definedName name="OSRRefE21_7x_1" localSheetId="49">'300 &amp; 317'!$K$93</definedName>
    <definedName name="OSRRefE21_7x_1" localSheetId="50">'301'!$K$54</definedName>
    <definedName name="OSRRefE21_7x_1" localSheetId="52">'307'!$K$63</definedName>
    <definedName name="OSRRefE21_7x_1" localSheetId="53">'308'!$K$66</definedName>
    <definedName name="OSRRefE21_7x_1" localSheetId="63">'310'!$K$58</definedName>
    <definedName name="OSRRefE21_7x_1" localSheetId="71">'310 &amp; 491'!$K$60</definedName>
    <definedName name="OSRRefE21_7x_1" localSheetId="54">'311'!$K$66</definedName>
    <definedName name="OSRRefE21_7x_1" localSheetId="57">'315'!$K$74</definedName>
    <definedName name="OSRRefE21_7x_1" localSheetId="60">'316'!$K$58:$K$59</definedName>
    <definedName name="OSRRefE21_7x_1" localSheetId="62">'317'!$K$66</definedName>
    <definedName name="OSRRefE21_7x_1" localSheetId="66">'321'!$K$55</definedName>
    <definedName name="OSRRefE21_7x_1" localSheetId="68">'325'!$K$56</definedName>
    <definedName name="OSRRefE21_7x_1" localSheetId="58">'326'!$K$58</definedName>
    <definedName name="OSRRefE21_7x_1" localSheetId="51">'330'!$K$63</definedName>
    <definedName name="OSRRefE21_7x_1" localSheetId="56">'331'!$K$74</definedName>
    <definedName name="OSRRefE21_7x_1" localSheetId="59">'332'!$K$58:$K$59</definedName>
    <definedName name="OSRRefE21_7x_1" localSheetId="73">'405'!$K$58</definedName>
    <definedName name="OSRRefE21_7x_1" localSheetId="75">'411'!$K$51</definedName>
    <definedName name="OSRRefE21_7x_1" localSheetId="79">'415'!$K$58</definedName>
    <definedName name="OSRRefE21_7x_1" localSheetId="80">'418'!$K$55:$K$56</definedName>
    <definedName name="OSRRefE21_7x_1" localSheetId="86">'430'!$K$52</definedName>
    <definedName name="OSRRefE21_7x_1" localSheetId="87">'433'!$K$58</definedName>
    <definedName name="OSRRefE21_7x_1" localSheetId="88">'444'!$K$58</definedName>
    <definedName name="OSRRefE21_7x_1" localSheetId="89">'450'!$K$58</definedName>
    <definedName name="OSRRefE21_7x_1" localSheetId="72">'491'!$K$59</definedName>
    <definedName name="OSRRefE21_7x_1" localSheetId="85">'492'!$K$58</definedName>
    <definedName name="OSRRefE21_7x_1" localSheetId="91">'501'!$K$53</definedName>
    <definedName name="OSRRefE21_7x_1" localSheetId="39">'Div 2'!$K$53</definedName>
    <definedName name="OSRRefE21_7x_1" localSheetId="47">'Div 3'!$K$91</definedName>
    <definedName name="OSRRefE21_7x_1" localSheetId="70">'Div 4'!$K$61</definedName>
    <definedName name="OSRRefE21_7x_1" localSheetId="90">'Div 5'!$K$53</definedName>
    <definedName name="OSRRefE21_7x_1" localSheetId="61">'Div 6'!$K$66</definedName>
    <definedName name="OSRRefE21_7x_1" localSheetId="2">Summary!$K$99</definedName>
    <definedName name="OSRRefE21_7x_2" localSheetId="41">'201'!$L$50</definedName>
    <definedName name="OSRRefE21_7x_2" localSheetId="42">'202'!$L$50:$L$52</definedName>
    <definedName name="OSRRefE21_7x_2" localSheetId="43">'203'!$L$51</definedName>
    <definedName name="OSRRefE21_7x_2" localSheetId="44">'204'!$L$54:$L$55</definedName>
    <definedName name="OSRRefE21_7x_2" localSheetId="45">'205'!$L$53</definedName>
    <definedName name="OSRRefE21_7x_2" localSheetId="48">'300'!$L$87</definedName>
    <definedName name="OSRRefE21_7x_2" localSheetId="49">'300 &amp; 317'!$L$93</definedName>
    <definedName name="OSRRefE21_7x_2" localSheetId="50">'301'!$L$54</definedName>
    <definedName name="OSRRefE21_7x_2" localSheetId="52">'307'!$L$63</definedName>
    <definedName name="OSRRefE21_7x_2" localSheetId="53">'308'!$L$66</definedName>
    <definedName name="OSRRefE21_7x_2" localSheetId="63">'310'!$L$58</definedName>
    <definedName name="OSRRefE21_7x_2" localSheetId="71">'310 &amp; 491'!$L$60</definedName>
    <definedName name="OSRRefE21_7x_2" localSheetId="54">'311'!$L$66</definedName>
    <definedName name="OSRRefE21_7x_2" localSheetId="57">'315'!$L$74</definedName>
    <definedName name="OSRRefE21_7x_2" localSheetId="60">'316'!$L$58:$L$59</definedName>
    <definedName name="OSRRefE21_7x_2" localSheetId="62">'317'!$L$66</definedName>
    <definedName name="OSRRefE21_7x_2" localSheetId="66">'321'!$L$55</definedName>
    <definedName name="OSRRefE21_7x_2" localSheetId="68">'325'!$L$56</definedName>
    <definedName name="OSRRefE21_7x_2" localSheetId="58">'326'!$L$58</definedName>
    <definedName name="OSRRefE21_7x_2" localSheetId="51">'330'!$L$63</definedName>
    <definedName name="OSRRefE21_7x_2" localSheetId="56">'331'!$L$74</definedName>
    <definedName name="OSRRefE21_7x_2" localSheetId="59">'332'!$L$58:$L$59</definedName>
    <definedName name="OSRRefE21_7x_2" localSheetId="73">'405'!$L$58</definedName>
    <definedName name="OSRRefE21_7x_2" localSheetId="75">'411'!$L$51</definedName>
    <definedName name="OSRRefE21_7x_2" localSheetId="79">'415'!$L$58</definedName>
    <definedName name="OSRRefE21_7x_2" localSheetId="80">'418'!$L$55:$L$56</definedName>
    <definedName name="OSRRefE21_7x_2" localSheetId="86">'430'!$L$52</definedName>
    <definedName name="OSRRefE21_7x_2" localSheetId="87">'433'!$L$58</definedName>
    <definedName name="OSRRefE21_7x_2" localSheetId="88">'444'!$L$58</definedName>
    <definedName name="OSRRefE21_7x_2" localSheetId="89">'450'!$L$58</definedName>
    <definedName name="OSRRefE21_7x_2" localSheetId="72">'491'!$L$59</definedName>
    <definedName name="OSRRefE21_7x_2" localSheetId="85">'492'!$L$58</definedName>
    <definedName name="OSRRefE21_7x_2" localSheetId="91">'501'!$L$53</definedName>
    <definedName name="OSRRefE21_7x_2" localSheetId="39">'Div 2'!$L$53</definedName>
    <definedName name="OSRRefE21_7x_2" localSheetId="47">'Div 3'!$L$91</definedName>
    <definedName name="OSRRefE21_7x_2" localSheetId="70">'Div 4'!$L$61</definedName>
    <definedName name="OSRRefE21_7x_2" localSheetId="90">'Div 5'!$L$53</definedName>
    <definedName name="OSRRefE21_7x_2" localSheetId="61">'Div 6'!$L$66</definedName>
    <definedName name="OSRRefE21_7x_2" localSheetId="2">Summary!$L$99</definedName>
    <definedName name="OSRRefE21_7x_3" localSheetId="41">'201'!$M$50</definedName>
    <definedName name="OSRRefE21_7x_3" localSheetId="42">'202'!$M$50:$M$52</definedName>
    <definedName name="OSRRefE21_7x_3" localSheetId="43">'203'!$M$51</definedName>
    <definedName name="OSRRefE21_7x_3" localSheetId="44">'204'!$M$54:$M$55</definedName>
    <definedName name="OSRRefE21_7x_3" localSheetId="45">'205'!$M$53</definedName>
    <definedName name="OSRRefE21_7x_3" localSheetId="48">'300'!$M$87</definedName>
    <definedName name="OSRRefE21_7x_3" localSheetId="49">'300 &amp; 317'!$M$93</definedName>
    <definedName name="OSRRefE21_7x_3" localSheetId="50">'301'!$M$54</definedName>
    <definedName name="OSRRefE21_7x_3" localSheetId="52">'307'!$M$63</definedName>
    <definedName name="OSRRefE21_7x_3" localSheetId="53">'308'!$M$66</definedName>
    <definedName name="OSRRefE21_7x_3" localSheetId="63">'310'!$M$58</definedName>
    <definedName name="OSRRefE21_7x_3" localSheetId="71">'310 &amp; 491'!$M$60</definedName>
    <definedName name="OSRRefE21_7x_3" localSheetId="54">'311'!$M$66</definedName>
    <definedName name="OSRRefE21_7x_3" localSheetId="57">'315'!$M$74</definedName>
    <definedName name="OSRRefE21_7x_3" localSheetId="60">'316'!$M$58:$M$59</definedName>
    <definedName name="OSRRefE21_7x_3" localSheetId="62">'317'!$M$66</definedName>
    <definedName name="OSRRefE21_7x_3" localSheetId="66">'321'!$M$55</definedName>
    <definedName name="OSRRefE21_7x_3" localSheetId="68">'325'!$M$56</definedName>
    <definedName name="OSRRefE21_7x_3" localSheetId="58">'326'!$M$58</definedName>
    <definedName name="OSRRefE21_7x_3" localSheetId="51">'330'!$M$63</definedName>
    <definedName name="OSRRefE21_7x_3" localSheetId="56">'331'!$M$74</definedName>
    <definedName name="OSRRefE21_7x_3" localSheetId="59">'332'!$M$58:$M$59</definedName>
    <definedName name="OSRRefE21_7x_3" localSheetId="73">'405'!$M$58</definedName>
    <definedName name="OSRRefE21_7x_3" localSheetId="75">'411'!$M$51</definedName>
    <definedName name="OSRRefE21_7x_3" localSheetId="79">'415'!$M$58</definedName>
    <definedName name="OSRRefE21_7x_3" localSheetId="80">'418'!$M$55:$M$56</definedName>
    <definedName name="OSRRefE21_7x_3" localSheetId="86">'430'!$M$52</definedName>
    <definedName name="OSRRefE21_7x_3" localSheetId="87">'433'!$M$58</definedName>
    <definedName name="OSRRefE21_7x_3" localSheetId="88">'444'!$M$58</definedName>
    <definedName name="OSRRefE21_7x_3" localSheetId="89">'450'!$M$58</definedName>
    <definedName name="OSRRefE21_7x_3" localSheetId="72">'491'!$M$59</definedName>
    <definedName name="OSRRefE21_7x_3" localSheetId="85">'492'!$M$58</definedName>
    <definedName name="OSRRefE21_7x_3" localSheetId="91">'501'!$M$53</definedName>
    <definedName name="OSRRefE21_7x_3" localSheetId="39">'Div 2'!$M$53</definedName>
    <definedName name="OSRRefE21_7x_3" localSheetId="47">'Div 3'!$M$91</definedName>
    <definedName name="OSRRefE21_7x_3" localSheetId="70">'Div 4'!$M$61</definedName>
    <definedName name="OSRRefE21_7x_3" localSheetId="90">'Div 5'!$M$53</definedName>
    <definedName name="OSRRefE21_7x_3" localSheetId="61">'Div 6'!$M$66</definedName>
    <definedName name="OSRRefE21_7x_3" localSheetId="2">Summary!$M$99</definedName>
    <definedName name="OSRRefE21_7x_4" localSheetId="41">'201'!$N$50</definedName>
    <definedName name="OSRRefE21_7x_4" localSheetId="42">'202'!$N$50:$N$52</definedName>
    <definedName name="OSRRefE21_7x_4" localSheetId="43">'203'!$N$51</definedName>
    <definedName name="OSRRefE21_7x_4" localSheetId="44">'204'!$N$54:$N$55</definedName>
    <definedName name="OSRRefE21_7x_4" localSheetId="45">'205'!$N$53</definedName>
    <definedName name="OSRRefE21_7x_4" localSheetId="48">'300'!$N$87</definedName>
    <definedName name="OSRRefE21_7x_4" localSheetId="49">'300 &amp; 317'!$N$93</definedName>
    <definedName name="OSRRefE21_7x_4" localSheetId="50">'301'!$N$54</definedName>
    <definedName name="OSRRefE21_7x_4" localSheetId="52">'307'!$N$63</definedName>
    <definedName name="OSRRefE21_7x_4" localSheetId="53">'308'!$N$66</definedName>
    <definedName name="OSRRefE21_7x_4" localSheetId="63">'310'!$N$58</definedName>
    <definedName name="OSRRefE21_7x_4" localSheetId="71">'310 &amp; 491'!$N$60</definedName>
    <definedName name="OSRRefE21_7x_4" localSheetId="54">'311'!$N$66</definedName>
    <definedName name="OSRRefE21_7x_4" localSheetId="57">'315'!$N$74</definedName>
    <definedName name="OSRRefE21_7x_4" localSheetId="60">'316'!$N$58:$N$59</definedName>
    <definedName name="OSRRefE21_7x_4" localSheetId="62">'317'!$N$66</definedName>
    <definedName name="OSRRefE21_7x_4" localSheetId="66">'321'!$N$55</definedName>
    <definedName name="OSRRefE21_7x_4" localSheetId="68">'325'!$N$56</definedName>
    <definedName name="OSRRefE21_7x_4" localSheetId="58">'326'!$N$58</definedName>
    <definedName name="OSRRefE21_7x_4" localSheetId="51">'330'!$N$63</definedName>
    <definedName name="OSRRefE21_7x_4" localSheetId="56">'331'!$N$74</definedName>
    <definedName name="OSRRefE21_7x_4" localSheetId="59">'332'!$N$58:$N$59</definedName>
    <definedName name="OSRRefE21_7x_4" localSheetId="73">'405'!$N$58</definedName>
    <definedName name="OSRRefE21_7x_4" localSheetId="75">'411'!$N$51</definedName>
    <definedName name="OSRRefE21_7x_4" localSheetId="79">'415'!$N$58</definedName>
    <definedName name="OSRRefE21_7x_4" localSheetId="80">'418'!$N$55:$N$56</definedName>
    <definedName name="OSRRefE21_7x_4" localSheetId="86">'430'!$N$52</definedName>
    <definedName name="OSRRefE21_7x_4" localSheetId="87">'433'!$N$58</definedName>
    <definedName name="OSRRefE21_7x_4" localSheetId="88">'444'!$N$58</definedName>
    <definedName name="OSRRefE21_7x_4" localSheetId="89">'450'!$N$58</definedName>
    <definedName name="OSRRefE21_7x_4" localSheetId="72">'491'!$N$59</definedName>
    <definedName name="OSRRefE21_7x_4" localSheetId="85">'492'!$N$58</definedName>
    <definedName name="OSRRefE21_7x_4" localSheetId="91">'501'!$N$53</definedName>
    <definedName name="OSRRefE21_7x_4" localSheetId="39">'Div 2'!$N$53</definedName>
    <definedName name="OSRRefE21_7x_4" localSheetId="47">'Div 3'!$N$91</definedName>
    <definedName name="OSRRefE21_7x_4" localSheetId="70">'Div 4'!$N$61</definedName>
    <definedName name="OSRRefE21_7x_4" localSheetId="90">'Div 5'!$N$53</definedName>
    <definedName name="OSRRefE21_7x_4" localSheetId="61">'Div 6'!$N$66</definedName>
    <definedName name="OSRRefE21_7x_4" localSheetId="2">Summary!$N$99</definedName>
    <definedName name="OSRRefE21_7x_5" localSheetId="41">'201'!$O$50</definedName>
    <definedName name="OSRRefE21_7x_5" localSheetId="42">'202'!$O$50:$O$52</definedName>
    <definedName name="OSRRefE21_7x_5" localSheetId="43">'203'!$O$51</definedName>
    <definedName name="OSRRefE21_7x_5" localSheetId="44">'204'!$O$54:$O$55</definedName>
    <definedName name="OSRRefE21_7x_5" localSheetId="45">'205'!$O$53</definedName>
    <definedName name="OSRRefE21_7x_5" localSheetId="48">'300'!$O$87</definedName>
    <definedName name="OSRRefE21_7x_5" localSheetId="49">'300 &amp; 317'!$O$93</definedName>
    <definedName name="OSRRefE21_7x_5" localSheetId="50">'301'!$O$54</definedName>
    <definedName name="OSRRefE21_7x_5" localSheetId="52">'307'!$O$63</definedName>
    <definedName name="OSRRefE21_7x_5" localSheetId="53">'308'!$O$66</definedName>
    <definedName name="OSRRefE21_7x_5" localSheetId="63">'310'!$O$58</definedName>
    <definedName name="OSRRefE21_7x_5" localSheetId="71">'310 &amp; 491'!$O$60</definedName>
    <definedName name="OSRRefE21_7x_5" localSheetId="54">'311'!$O$66</definedName>
    <definedName name="OSRRefE21_7x_5" localSheetId="57">'315'!$O$74</definedName>
    <definedName name="OSRRefE21_7x_5" localSheetId="60">'316'!$O$58:$O$59</definedName>
    <definedName name="OSRRefE21_7x_5" localSheetId="62">'317'!$O$66</definedName>
    <definedName name="OSRRefE21_7x_5" localSheetId="66">'321'!$O$55</definedName>
    <definedName name="OSRRefE21_7x_5" localSheetId="68">'325'!$O$56</definedName>
    <definedName name="OSRRefE21_7x_5" localSheetId="58">'326'!$O$58</definedName>
    <definedName name="OSRRefE21_7x_5" localSheetId="51">'330'!$O$63</definedName>
    <definedName name="OSRRefE21_7x_5" localSheetId="56">'331'!$O$74</definedName>
    <definedName name="OSRRefE21_7x_5" localSheetId="59">'332'!$O$58:$O$59</definedName>
    <definedName name="OSRRefE21_7x_5" localSheetId="73">'405'!$O$58</definedName>
    <definedName name="OSRRefE21_7x_5" localSheetId="75">'411'!$O$51</definedName>
    <definedName name="OSRRefE21_7x_5" localSheetId="79">'415'!$O$58</definedName>
    <definedName name="OSRRefE21_7x_5" localSheetId="80">'418'!$O$55:$O$56</definedName>
    <definedName name="OSRRefE21_7x_5" localSheetId="86">'430'!$O$52</definedName>
    <definedName name="OSRRefE21_7x_5" localSheetId="87">'433'!$O$58</definedName>
    <definedName name="OSRRefE21_7x_5" localSheetId="88">'444'!$O$58</definedName>
    <definedName name="OSRRefE21_7x_5" localSheetId="89">'450'!$O$58</definedName>
    <definedName name="OSRRefE21_7x_5" localSheetId="72">'491'!$O$59</definedName>
    <definedName name="OSRRefE21_7x_5" localSheetId="85">'492'!$O$58</definedName>
    <definedName name="OSRRefE21_7x_5" localSheetId="91">'501'!$O$53</definedName>
    <definedName name="OSRRefE21_7x_5" localSheetId="39">'Div 2'!$O$53</definedName>
    <definedName name="OSRRefE21_7x_5" localSheetId="47">'Div 3'!$O$91</definedName>
    <definedName name="OSRRefE21_7x_5" localSheetId="70">'Div 4'!$O$61</definedName>
    <definedName name="OSRRefE21_7x_5" localSheetId="90">'Div 5'!$O$53</definedName>
    <definedName name="OSRRefE21_7x_5" localSheetId="61">'Div 6'!$O$66</definedName>
    <definedName name="OSRRefE21_7x_5" localSheetId="2">Summary!$O$99</definedName>
    <definedName name="OSRRefE21_8_0x" localSheetId="41">'201'!$J$52:$O$52</definedName>
    <definedName name="OSRRefE21_8_0x" localSheetId="42">'202'!$J$54:$O$54</definedName>
    <definedName name="OSRRefE21_8_0x" localSheetId="43">'203'!$J$53:$O$53</definedName>
    <definedName name="OSRRefE21_8_0x" localSheetId="44">'204'!$J$57:$O$57</definedName>
    <definedName name="OSRRefE21_8_0x" localSheetId="48">'300'!$J$89:$O$89</definedName>
    <definedName name="OSRRefE21_8_0x" localSheetId="49">'300 &amp; 317'!$J$95:$O$95</definedName>
    <definedName name="OSRRefE21_8_0x" localSheetId="50">'301'!$J$56:$O$56</definedName>
    <definedName name="OSRRefE21_8_0x" localSheetId="52">'307'!$J$65:$O$65</definedName>
    <definedName name="OSRRefE21_8_0x" localSheetId="53">'308'!$J$68:$O$68</definedName>
    <definedName name="OSRRefE21_8_0x" localSheetId="63">'310'!$J$60:$O$60</definedName>
    <definedName name="OSRRefE21_8_0x" localSheetId="71">'310 &amp; 491'!$J$62:$O$62</definedName>
    <definedName name="OSRRefE21_8_0x" localSheetId="54">'311'!$J$68:$O$68</definedName>
    <definedName name="OSRRefE21_8_0x" localSheetId="57">'315'!$J$76:$O$76</definedName>
    <definedName name="OSRRefE21_8_0x" localSheetId="60">'316'!$J$61:$O$61</definedName>
    <definedName name="OSRRefE21_8_0x" localSheetId="62">'317'!$J$68:$O$68</definedName>
    <definedName name="OSRRefE21_8_0x" localSheetId="66">'321'!$J$57:$O$57</definedName>
    <definedName name="OSRRefE21_8_0x" localSheetId="68">'325'!$J$58:$O$58</definedName>
    <definedName name="OSRRefE21_8_0x" localSheetId="58">'326'!$J$60:$O$60</definedName>
    <definedName name="OSRRefE21_8_0x" localSheetId="51">'330'!$J$65:$O$65</definedName>
    <definedName name="OSRRefE21_8_0x" localSheetId="56">'331'!$J$76:$O$76</definedName>
    <definedName name="OSRRefE21_8_0x" localSheetId="59">'332'!$J$61:$O$61</definedName>
    <definedName name="OSRRefE21_8_0x" localSheetId="73">'405'!$J$60:$O$60</definedName>
    <definedName name="OSRRefE21_8_0x" localSheetId="75">'411'!$J$53:$O$53</definedName>
    <definedName name="OSRRefE21_8_0x" localSheetId="79">'415'!$J$60:$O$60</definedName>
    <definedName name="OSRRefE21_8_0x" localSheetId="80">'418'!$J$58:$O$58</definedName>
    <definedName name="OSRRefE21_8_0x" localSheetId="86">'430'!$J$54:$O$54</definedName>
    <definedName name="OSRRefE21_8_0x" localSheetId="87">'433'!$J$60:$O$60</definedName>
    <definedName name="OSRRefE21_8_0x" localSheetId="88">'444'!$J$60:$O$60</definedName>
    <definedName name="OSRRefE21_8_0x" localSheetId="89">'450'!$J$60:$O$60</definedName>
    <definedName name="OSRRefE21_8_0x" localSheetId="72">'491'!$J$61:$O$61</definedName>
    <definedName name="OSRRefE21_8_0x" localSheetId="85">'492'!$J$60:$O$60</definedName>
    <definedName name="OSRRefE21_8_0x" localSheetId="91">'501'!$J$55:$O$55</definedName>
    <definedName name="OSRRefE21_8_0x" localSheetId="39">'Div 2'!$J$55:$O$55</definedName>
    <definedName name="OSRRefE21_8_0x" localSheetId="47">'Div 3'!$J$93:$O$93</definedName>
    <definedName name="OSRRefE21_8_0x" localSheetId="70">'Div 4'!$J$63:$O$63</definedName>
    <definedName name="OSRRefE21_8_0x" localSheetId="90">'Div 5'!$J$55:$O$55</definedName>
    <definedName name="OSRRefE21_8_0x" localSheetId="61">'Div 6'!$J$68:$O$68</definedName>
    <definedName name="OSRRefE21_8_0x" localSheetId="2">Summary!$J$101:$O$101</definedName>
    <definedName name="OSRRefE21_8_1x" localSheetId="43">'203'!$J$54:$O$54</definedName>
    <definedName name="OSRRefE21_8_1x" localSheetId="53">'308'!$J$69:$O$69</definedName>
    <definedName name="OSRRefE21_8_1x" localSheetId="71">'310 &amp; 491'!$J$63:$O$63</definedName>
    <definedName name="OSRRefE21_8_1x" localSheetId="54">'311'!$J$69:$O$69</definedName>
    <definedName name="OSRRefE21_8_1x" localSheetId="57">'315'!$J$77:$O$77</definedName>
    <definedName name="OSRRefE21_8_1x" localSheetId="62">'317'!$J$69:$O$69</definedName>
    <definedName name="OSRRefE21_8_1x" localSheetId="66">'321'!$J$58:$O$58</definedName>
    <definedName name="OSRRefE21_8_1x" localSheetId="56">'331'!$J$77:$O$77</definedName>
    <definedName name="OSRRefE21_8_1x" localSheetId="75">'411'!$J$54:$O$54</definedName>
    <definedName name="OSRRefE21_8_1x" localSheetId="80">'418'!$J$59:$O$59</definedName>
    <definedName name="OSRRefE21_8_1x" localSheetId="72">'491'!$J$62:$O$62</definedName>
    <definedName name="OSRRefE21_8_1x" localSheetId="61">'Div 6'!$J$69:$O$69</definedName>
    <definedName name="OSRRefE21_8_2x" localSheetId="43">'203'!$J$55:$O$55</definedName>
    <definedName name="OSRRefE21_8_2x" localSheetId="53">'308'!$J$70:$O$70</definedName>
    <definedName name="OSRRefE21_8_2x" localSheetId="54">'311'!$J$70:$O$70</definedName>
    <definedName name="OSRRefE21_8_2x" localSheetId="75">'411'!$J$55:$O$55</definedName>
    <definedName name="OSRRefE21_8_3x" localSheetId="75">'411'!$J$56:$O$56</definedName>
    <definedName name="OSRRefE21_8x_0" localSheetId="41">'201'!$J$52</definedName>
    <definedName name="OSRRefE21_8x_0" localSheetId="42">'202'!$J$54</definedName>
    <definedName name="OSRRefE21_8x_0" localSheetId="43">'203'!$J$53:$J$55</definedName>
    <definedName name="OSRRefE21_8x_0" localSheetId="44">'204'!$J$57</definedName>
    <definedName name="OSRRefE21_8x_0" localSheetId="48">'300'!$J$89</definedName>
    <definedName name="OSRRefE21_8x_0" localSheetId="49">'300 &amp; 317'!$J$95</definedName>
    <definedName name="OSRRefE21_8x_0" localSheetId="50">'301'!$J$56</definedName>
    <definedName name="OSRRefE21_8x_0" localSheetId="52">'307'!$J$65</definedName>
    <definedName name="OSRRefE21_8x_0" localSheetId="53">'308'!$J$68:$J$70</definedName>
    <definedName name="OSRRefE21_8x_0" localSheetId="63">'310'!$J$60</definedName>
    <definedName name="OSRRefE21_8x_0" localSheetId="71">'310 &amp; 491'!$J$62:$J$63</definedName>
    <definedName name="OSRRefE21_8x_0" localSheetId="54">'311'!$J$68:$J$70</definedName>
    <definedName name="OSRRefE21_8x_0" localSheetId="57">'315'!$J$76:$J$77</definedName>
    <definedName name="OSRRefE21_8x_0" localSheetId="60">'316'!$J$61</definedName>
    <definedName name="OSRRefE21_8x_0" localSheetId="62">'317'!$J$68:$J$69</definedName>
    <definedName name="OSRRefE21_8x_0" localSheetId="66">'321'!$J$57:$J$58</definedName>
    <definedName name="OSRRefE21_8x_0" localSheetId="68">'325'!$J$58</definedName>
    <definedName name="OSRRefE21_8x_0" localSheetId="58">'326'!$J$60</definedName>
    <definedName name="OSRRefE21_8x_0" localSheetId="51">'330'!$J$65</definedName>
    <definedName name="OSRRefE21_8x_0" localSheetId="56">'331'!$J$76:$J$77</definedName>
    <definedName name="OSRRefE21_8x_0" localSheetId="59">'332'!$J$61</definedName>
    <definedName name="OSRRefE21_8x_0" localSheetId="73">'405'!$J$60</definedName>
    <definedName name="OSRRefE21_8x_0" localSheetId="75">'411'!$J$53:$J$56</definedName>
    <definedName name="OSRRefE21_8x_0" localSheetId="79">'415'!$J$60</definedName>
    <definedName name="OSRRefE21_8x_0" localSheetId="80">'418'!$J$58:$J$59</definedName>
    <definedName name="OSRRefE21_8x_0" localSheetId="86">'430'!$J$54</definedName>
    <definedName name="OSRRefE21_8x_0" localSheetId="87">'433'!$J$60</definedName>
    <definedName name="OSRRefE21_8x_0" localSheetId="88">'444'!$J$60</definedName>
    <definedName name="OSRRefE21_8x_0" localSheetId="89">'450'!$J$60</definedName>
    <definedName name="OSRRefE21_8x_0" localSheetId="72">'491'!$J$61:$J$62</definedName>
    <definedName name="OSRRefE21_8x_0" localSheetId="85">'492'!$J$60</definedName>
    <definedName name="OSRRefE21_8x_0" localSheetId="91">'501'!$J$55</definedName>
    <definedName name="OSRRefE21_8x_0" localSheetId="39">'Div 2'!$J$55</definedName>
    <definedName name="OSRRefE21_8x_0" localSheetId="47">'Div 3'!$J$93</definedName>
    <definedName name="OSRRefE21_8x_0" localSheetId="70">'Div 4'!$J$63</definedName>
    <definedName name="OSRRefE21_8x_0" localSheetId="90">'Div 5'!$J$55</definedName>
    <definedName name="OSRRefE21_8x_0" localSheetId="61">'Div 6'!$J$68:$J$69</definedName>
    <definedName name="OSRRefE21_8x_0" localSheetId="2">Summary!$J$101</definedName>
    <definedName name="OSRRefE21_8x_1" localSheetId="41">'201'!$K$52</definedName>
    <definedName name="OSRRefE21_8x_1" localSheetId="42">'202'!$K$54</definedName>
    <definedName name="OSRRefE21_8x_1" localSheetId="43">'203'!$K$53:$K$55</definedName>
    <definedName name="OSRRefE21_8x_1" localSheetId="44">'204'!$K$57</definedName>
    <definedName name="OSRRefE21_8x_1" localSheetId="48">'300'!$K$89</definedName>
    <definedName name="OSRRefE21_8x_1" localSheetId="49">'300 &amp; 317'!$K$95</definedName>
    <definedName name="OSRRefE21_8x_1" localSheetId="50">'301'!$K$56</definedName>
    <definedName name="OSRRefE21_8x_1" localSheetId="52">'307'!$K$65</definedName>
    <definedName name="OSRRefE21_8x_1" localSheetId="53">'308'!$K$68:$K$70</definedName>
    <definedName name="OSRRefE21_8x_1" localSheetId="63">'310'!$K$60</definedName>
    <definedName name="OSRRefE21_8x_1" localSheetId="71">'310 &amp; 491'!$K$62:$K$63</definedName>
    <definedName name="OSRRefE21_8x_1" localSheetId="54">'311'!$K$68:$K$70</definedName>
    <definedName name="OSRRefE21_8x_1" localSheetId="57">'315'!$K$76:$K$77</definedName>
    <definedName name="OSRRefE21_8x_1" localSheetId="60">'316'!$K$61</definedName>
    <definedName name="OSRRefE21_8x_1" localSheetId="62">'317'!$K$68:$K$69</definedName>
    <definedName name="OSRRefE21_8x_1" localSheetId="66">'321'!$K$57:$K$58</definedName>
    <definedName name="OSRRefE21_8x_1" localSheetId="68">'325'!$K$58</definedName>
    <definedName name="OSRRefE21_8x_1" localSheetId="58">'326'!$K$60</definedName>
    <definedName name="OSRRefE21_8x_1" localSheetId="51">'330'!$K$65</definedName>
    <definedName name="OSRRefE21_8x_1" localSheetId="56">'331'!$K$76:$K$77</definedName>
    <definedName name="OSRRefE21_8x_1" localSheetId="59">'332'!$K$61</definedName>
    <definedName name="OSRRefE21_8x_1" localSheetId="73">'405'!$K$60</definedName>
    <definedName name="OSRRefE21_8x_1" localSheetId="75">'411'!$K$53:$K$56</definedName>
    <definedName name="OSRRefE21_8x_1" localSheetId="79">'415'!$K$60</definedName>
    <definedName name="OSRRefE21_8x_1" localSheetId="80">'418'!$K$58:$K$59</definedName>
    <definedName name="OSRRefE21_8x_1" localSheetId="86">'430'!$K$54</definedName>
    <definedName name="OSRRefE21_8x_1" localSheetId="87">'433'!$K$60</definedName>
    <definedName name="OSRRefE21_8x_1" localSheetId="88">'444'!$K$60</definedName>
    <definedName name="OSRRefE21_8x_1" localSheetId="89">'450'!$K$60</definedName>
    <definedName name="OSRRefE21_8x_1" localSheetId="72">'491'!$K$61:$K$62</definedName>
    <definedName name="OSRRefE21_8x_1" localSheetId="85">'492'!$K$60</definedName>
    <definedName name="OSRRefE21_8x_1" localSheetId="91">'501'!$K$55</definedName>
    <definedName name="OSRRefE21_8x_1" localSheetId="39">'Div 2'!$K$55</definedName>
    <definedName name="OSRRefE21_8x_1" localSheetId="47">'Div 3'!$K$93</definedName>
    <definedName name="OSRRefE21_8x_1" localSheetId="70">'Div 4'!$K$63</definedName>
    <definedName name="OSRRefE21_8x_1" localSheetId="90">'Div 5'!$K$55</definedName>
    <definedName name="OSRRefE21_8x_1" localSheetId="61">'Div 6'!$K$68:$K$69</definedName>
    <definedName name="OSRRefE21_8x_1" localSheetId="2">Summary!$K$101</definedName>
    <definedName name="OSRRefE21_8x_2" localSheetId="41">'201'!$L$52</definedName>
    <definedName name="OSRRefE21_8x_2" localSheetId="42">'202'!$L$54</definedName>
    <definedName name="OSRRefE21_8x_2" localSheetId="43">'203'!$L$53:$L$55</definedName>
    <definedName name="OSRRefE21_8x_2" localSheetId="44">'204'!$L$57</definedName>
    <definedName name="OSRRefE21_8x_2" localSheetId="48">'300'!$L$89</definedName>
    <definedName name="OSRRefE21_8x_2" localSheetId="49">'300 &amp; 317'!$L$95</definedName>
    <definedName name="OSRRefE21_8x_2" localSheetId="50">'301'!$L$56</definedName>
    <definedName name="OSRRefE21_8x_2" localSheetId="52">'307'!$L$65</definedName>
    <definedName name="OSRRefE21_8x_2" localSheetId="53">'308'!$L$68:$L$70</definedName>
    <definedName name="OSRRefE21_8x_2" localSheetId="63">'310'!$L$60</definedName>
    <definedName name="OSRRefE21_8x_2" localSheetId="71">'310 &amp; 491'!$L$62:$L$63</definedName>
    <definedName name="OSRRefE21_8x_2" localSheetId="54">'311'!$L$68:$L$70</definedName>
    <definedName name="OSRRefE21_8x_2" localSheetId="57">'315'!$L$76:$L$77</definedName>
    <definedName name="OSRRefE21_8x_2" localSheetId="60">'316'!$L$61</definedName>
    <definedName name="OSRRefE21_8x_2" localSheetId="62">'317'!$L$68:$L$69</definedName>
    <definedName name="OSRRefE21_8x_2" localSheetId="66">'321'!$L$57:$L$58</definedName>
    <definedName name="OSRRefE21_8x_2" localSheetId="68">'325'!$L$58</definedName>
    <definedName name="OSRRefE21_8x_2" localSheetId="58">'326'!$L$60</definedName>
    <definedName name="OSRRefE21_8x_2" localSheetId="51">'330'!$L$65</definedName>
    <definedName name="OSRRefE21_8x_2" localSheetId="56">'331'!$L$76:$L$77</definedName>
    <definedName name="OSRRefE21_8x_2" localSheetId="59">'332'!$L$61</definedName>
    <definedName name="OSRRefE21_8x_2" localSheetId="73">'405'!$L$60</definedName>
    <definedName name="OSRRefE21_8x_2" localSheetId="75">'411'!$L$53:$L$56</definedName>
    <definedName name="OSRRefE21_8x_2" localSheetId="79">'415'!$L$60</definedName>
    <definedName name="OSRRefE21_8x_2" localSheetId="80">'418'!$L$58:$L$59</definedName>
    <definedName name="OSRRefE21_8x_2" localSheetId="86">'430'!$L$54</definedName>
    <definedName name="OSRRefE21_8x_2" localSheetId="87">'433'!$L$60</definedName>
    <definedName name="OSRRefE21_8x_2" localSheetId="88">'444'!$L$60</definedName>
    <definedName name="OSRRefE21_8x_2" localSheetId="89">'450'!$L$60</definedName>
    <definedName name="OSRRefE21_8x_2" localSheetId="72">'491'!$L$61:$L$62</definedName>
    <definedName name="OSRRefE21_8x_2" localSheetId="85">'492'!$L$60</definedName>
    <definedName name="OSRRefE21_8x_2" localSheetId="91">'501'!$L$55</definedName>
    <definedName name="OSRRefE21_8x_2" localSheetId="39">'Div 2'!$L$55</definedName>
    <definedName name="OSRRefE21_8x_2" localSheetId="47">'Div 3'!$L$93</definedName>
    <definedName name="OSRRefE21_8x_2" localSheetId="70">'Div 4'!$L$63</definedName>
    <definedName name="OSRRefE21_8x_2" localSheetId="90">'Div 5'!$L$55</definedName>
    <definedName name="OSRRefE21_8x_2" localSheetId="61">'Div 6'!$L$68:$L$69</definedName>
    <definedName name="OSRRefE21_8x_2" localSheetId="2">Summary!$L$101</definedName>
    <definedName name="OSRRefE21_8x_3" localSheetId="41">'201'!$M$52</definedName>
    <definedName name="OSRRefE21_8x_3" localSheetId="42">'202'!$M$54</definedName>
    <definedName name="OSRRefE21_8x_3" localSheetId="43">'203'!$M$53:$M$55</definedName>
    <definedName name="OSRRefE21_8x_3" localSheetId="44">'204'!$M$57</definedName>
    <definedName name="OSRRefE21_8x_3" localSheetId="48">'300'!$M$89</definedName>
    <definedName name="OSRRefE21_8x_3" localSheetId="49">'300 &amp; 317'!$M$95</definedName>
    <definedName name="OSRRefE21_8x_3" localSheetId="50">'301'!$M$56</definedName>
    <definedName name="OSRRefE21_8x_3" localSheetId="52">'307'!$M$65</definedName>
    <definedName name="OSRRefE21_8x_3" localSheetId="53">'308'!$M$68:$M$70</definedName>
    <definedName name="OSRRefE21_8x_3" localSheetId="63">'310'!$M$60</definedName>
    <definedName name="OSRRefE21_8x_3" localSheetId="71">'310 &amp; 491'!$M$62:$M$63</definedName>
    <definedName name="OSRRefE21_8x_3" localSheetId="54">'311'!$M$68:$M$70</definedName>
    <definedName name="OSRRefE21_8x_3" localSheetId="57">'315'!$M$76:$M$77</definedName>
    <definedName name="OSRRefE21_8x_3" localSheetId="60">'316'!$M$61</definedName>
    <definedName name="OSRRefE21_8x_3" localSheetId="62">'317'!$M$68:$M$69</definedName>
    <definedName name="OSRRefE21_8x_3" localSheetId="66">'321'!$M$57:$M$58</definedName>
    <definedName name="OSRRefE21_8x_3" localSheetId="68">'325'!$M$58</definedName>
    <definedName name="OSRRefE21_8x_3" localSheetId="58">'326'!$M$60</definedName>
    <definedName name="OSRRefE21_8x_3" localSheetId="51">'330'!$M$65</definedName>
    <definedName name="OSRRefE21_8x_3" localSheetId="56">'331'!$M$76:$M$77</definedName>
    <definedName name="OSRRefE21_8x_3" localSheetId="59">'332'!$M$61</definedName>
    <definedName name="OSRRefE21_8x_3" localSheetId="73">'405'!$M$60</definedName>
    <definedName name="OSRRefE21_8x_3" localSheetId="75">'411'!$M$53:$M$56</definedName>
    <definedName name="OSRRefE21_8x_3" localSheetId="79">'415'!$M$60</definedName>
    <definedName name="OSRRefE21_8x_3" localSheetId="80">'418'!$M$58:$M$59</definedName>
    <definedName name="OSRRefE21_8x_3" localSheetId="86">'430'!$M$54</definedName>
    <definedName name="OSRRefE21_8x_3" localSheetId="87">'433'!$M$60</definedName>
    <definedName name="OSRRefE21_8x_3" localSheetId="88">'444'!$M$60</definedName>
    <definedName name="OSRRefE21_8x_3" localSheetId="89">'450'!$M$60</definedName>
    <definedName name="OSRRefE21_8x_3" localSheetId="72">'491'!$M$61:$M$62</definedName>
    <definedName name="OSRRefE21_8x_3" localSheetId="85">'492'!$M$60</definedName>
    <definedName name="OSRRefE21_8x_3" localSheetId="91">'501'!$M$55</definedName>
    <definedName name="OSRRefE21_8x_3" localSheetId="39">'Div 2'!$M$55</definedName>
    <definedName name="OSRRefE21_8x_3" localSheetId="47">'Div 3'!$M$93</definedName>
    <definedName name="OSRRefE21_8x_3" localSheetId="70">'Div 4'!$M$63</definedName>
    <definedName name="OSRRefE21_8x_3" localSheetId="90">'Div 5'!$M$55</definedName>
    <definedName name="OSRRefE21_8x_3" localSheetId="61">'Div 6'!$M$68:$M$69</definedName>
    <definedName name="OSRRefE21_8x_3" localSheetId="2">Summary!$M$101</definedName>
    <definedName name="OSRRefE21_8x_4" localSheetId="41">'201'!$N$52</definedName>
    <definedName name="OSRRefE21_8x_4" localSheetId="42">'202'!$N$54</definedName>
    <definedName name="OSRRefE21_8x_4" localSheetId="43">'203'!$N$53:$N$55</definedName>
    <definedName name="OSRRefE21_8x_4" localSheetId="44">'204'!$N$57</definedName>
    <definedName name="OSRRefE21_8x_4" localSheetId="48">'300'!$N$89</definedName>
    <definedName name="OSRRefE21_8x_4" localSheetId="49">'300 &amp; 317'!$N$95</definedName>
    <definedName name="OSRRefE21_8x_4" localSheetId="50">'301'!$N$56</definedName>
    <definedName name="OSRRefE21_8x_4" localSheetId="52">'307'!$N$65</definedName>
    <definedName name="OSRRefE21_8x_4" localSheetId="53">'308'!$N$68:$N$70</definedName>
    <definedName name="OSRRefE21_8x_4" localSheetId="63">'310'!$N$60</definedName>
    <definedName name="OSRRefE21_8x_4" localSheetId="71">'310 &amp; 491'!$N$62:$N$63</definedName>
    <definedName name="OSRRefE21_8x_4" localSheetId="54">'311'!$N$68:$N$70</definedName>
    <definedName name="OSRRefE21_8x_4" localSheetId="57">'315'!$N$76:$N$77</definedName>
    <definedName name="OSRRefE21_8x_4" localSheetId="60">'316'!$N$61</definedName>
    <definedName name="OSRRefE21_8x_4" localSheetId="62">'317'!$N$68:$N$69</definedName>
    <definedName name="OSRRefE21_8x_4" localSheetId="66">'321'!$N$57:$N$58</definedName>
    <definedName name="OSRRefE21_8x_4" localSheetId="68">'325'!$N$58</definedName>
    <definedName name="OSRRefE21_8x_4" localSheetId="58">'326'!$N$60</definedName>
    <definedName name="OSRRefE21_8x_4" localSheetId="51">'330'!$N$65</definedName>
    <definedName name="OSRRefE21_8x_4" localSheetId="56">'331'!$N$76:$N$77</definedName>
    <definedName name="OSRRefE21_8x_4" localSheetId="59">'332'!$N$61</definedName>
    <definedName name="OSRRefE21_8x_4" localSheetId="73">'405'!$N$60</definedName>
    <definedName name="OSRRefE21_8x_4" localSheetId="75">'411'!$N$53:$N$56</definedName>
    <definedName name="OSRRefE21_8x_4" localSheetId="79">'415'!$N$60</definedName>
    <definedName name="OSRRefE21_8x_4" localSheetId="80">'418'!$N$58:$N$59</definedName>
    <definedName name="OSRRefE21_8x_4" localSheetId="86">'430'!$N$54</definedName>
    <definedName name="OSRRefE21_8x_4" localSheetId="87">'433'!$N$60</definedName>
    <definedName name="OSRRefE21_8x_4" localSheetId="88">'444'!$N$60</definedName>
    <definedName name="OSRRefE21_8x_4" localSheetId="89">'450'!$N$60</definedName>
    <definedName name="OSRRefE21_8x_4" localSheetId="72">'491'!$N$61:$N$62</definedName>
    <definedName name="OSRRefE21_8x_4" localSheetId="85">'492'!$N$60</definedName>
    <definedName name="OSRRefE21_8x_4" localSheetId="91">'501'!$N$55</definedName>
    <definedName name="OSRRefE21_8x_4" localSheetId="39">'Div 2'!$N$55</definedName>
    <definedName name="OSRRefE21_8x_4" localSheetId="47">'Div 3'!$N$93</definedName>
    <definedName name="OSRRefE21_8x_4" localSheetId="70">'Div 4'!$N$63</definedName>
    <definedName name="OSRRefE21_8x_4" localSheetId="90">'Div 5'!$N$55</definedName>
    <definedName name="OSRRefE21_8x_4" localSheetId="61">'Div 6'!$N$68:$N$69</definedName>
    <definedName name="OSRRefE21_8x_4" localSheetId="2">Summary!$N$101</definedName>
    <definedName name="OSRRefE21_8x_5" localSheetId="41">'201'!$O$52</definedName>
    <definedName name="OSRRefE21_8x_5" localSheetId="42">'202'!$O$54</definedName>
    <definedName name="OSRRefE21_8x_5" localSheetId="43">'203'!$O$53:$O$55</definedName>
    <definedName name="OSRRefE21_8x_5" localSheetId="44">'204'!$O$57</definedName>
    <definedName name="OSRRefE21_8x_5" localSheetId="48">'300'!$O$89</definedName>
    <definedName name="OSRRefE21_8x_5" localSheetId="49">'300 &amp; 317'!$O$95</definedName>
    <definedName name="OSRRefE21_8x_5" localSheetId="50">'301'!$O$56</definedName>
    <definedName name="OSRRefE21_8x_5" localSheetId="52">'307'!$O$65</definedName>
    <definedName name="OSRRefE21_8x_5" localSheetId="53">'308'!$O$68:$O$70</definedName>
    <definedName name="OSRRefE21_8x_5" localSheetId="63">'310'!$O$60</definedName>
    <definedName name="OSRRefE21_8x_5" localSheetId="71">'310 &amp; 491'!$O$62:$O$63</definedName>
    <definedName name="OSRRefE21_8x_5" localSheetId="54">'311'!$O$68:$O$70</definedName>
    <definedName name="OSRRefE21_8x_5" localSheetId="57">'315'!$O$76:$O$77</definedName>
    <definedName name="OSRRefE21_8x_5" localSheetId="60">'316'!$O$61</definedName>
    <definedName name="OSRRefE21_8x_5" localSheetId="62">'317'!$O$68:$O$69</definedName>
    <definedName name="OSRRefE21_8x_5" localSheetId="66">'321'!$O$57:$O$58</definedName>
    <definedName name="OSRRefE21_8x_5" localSheetId="68">'325'!$O$58</definedName>
    <definedName name="OSRRefE21_8x_5" localSheetId="58">'326'!$O$60</definedName>
    <definedName name="OSRRefE21_8x_5" localSheetId="51">'330'!$O$65</definedName>
    <definedName name="OSRRefE21_8x_5" localSheetId="56">'331'!$O$76:$O$77</definedName>
    <definedName name="OSRRefE21_8x_5" localSheetId="59">'332'!$O$61</definedName>
    <definedName name="OSRRefE21_8x_5" localSheetId="73">'405'!$O$60</definedName>
    <definedName name="OSRRefE21_8x_5" localSheetId="75">'411'!$O$53:$O$56</definedName>
    <definedName name="OSRRefE21_8x_5" localSheetId="79">'415'!$O$60</definedName>
    <definedName name="OSRRefE21_8x_5" localSheetId="80">'418'!$O$58:$O$59</definedName>
    <definedName name="OSRRefE21_8x_5" localSheetId="86">'430'!$O$54</definedName>
    <definedName name="OSRRefE21_8x_5" localSheetId="87">'433'!$O$60</definedName>
    <definedName name="OSRRefE21_8x_5" localSheetId="88">'444'!$O$60</definedName>
    <definedName name="OSRRefE21_8x_5" localSheetId="89">'450'!$O$60</definedName>
    <definedName name="OSRRefE21_8x_5" localSheetId="72">'491'!$O$61:$O$62</definedName>
    <definedName name="OSRRefE21_8x_5" localSheetId="85">'492'!$O$60</definedName>
    <definedName name="OSRRefE21_8x_5" localSheetId="91">'501'!$O$55</definedName>
    <definedName name="OSRRefE21_8x_5" localSheetId="39">'Div 2'!$O$55</definedName>
    <definedName name="OSRRefE21_8x_5" localSheetId="47">'Div 3'!$O$93</definedName>
    <definedName name="OSRRefE21_8x_5" localSheetId="70">'Div 4'!$O$63</definedName>
    <definedName name="OSRRefE21_8x_5" localSheetId="90">'Div 5'!$O$55</definedName>
    <definedName name="OSRRefE21_8x_5" localSheetId="61">'Div 6'!$O$68:$O$69</definedName>
    <definedName name="OSRRefE21_8x_5" localSheetId="2">Summary!$O$101</definedName>
    <definedName name="OSRRefE21_9_0x" localSheetId="41">'201'!$J$54:$O$54</definedName>
    <definedName name="OSRRefE21_9_0x" localSheetId="42">'202'!$J$56:$O$56</definedName>
    <definedName name="OSRRefE21_9_0x" localSheetId="43">'203'!$J$57:$O$57</definedName>
    <definedName name="OSRRefE21_9_0x" localSheetId="44">'204'!$J$59:$O$59</definedName>
    <definedName name="OSRRefE21_9_0x" localSheetId="48">'300'!$J$91:$O$91</definedName>
    <definedName name="OSRRefE21_9_0x" localSheetId="49">'300 &amp; 317'!$J$97:$O$97</definedName>
    <definedName name="OSRRefE21_9_0x" localSheetId="50">'301'!$J$58:$O$58</definedName>
    <definedName name="OSRRefE21_9_0x" localSheetId="52">'307'!$J$67:$O$67</definedName>
    <definedName name="OSRRefE21_9_0x" localSheetId="53">'308'!$J$72:$O$72</definedName>
    <definedName name="OSRRefE21_9_0x" localSheetId="63">'310'!$J$62:$O$62</definedName>
    <definedName name="OSRRefE21_9_0x" localSheetId="71">'310 &amp; 491'!$J$65:$O$65</definedName>
    <definedName name="OSRRefE21_9_0x" localSheetId="54">'311'!$J$72:$O$72</definedName>
    <definedName name="OSRRefE21_9_0x" localSheetId="57">'315'!$J$79:$O$79</definedName>
    <definedName name="OSRRefE21_9_0x" localSheetId="60">'316'!$J$63:$O$63</definedName>
    <definedName name="OSRRefE21_9_0x" localSheetId="62">'317'!$J$71:$O$71</definedName>
    <definedName name="OSRRefE21_9_0x" localSheetId="66">'321'!$J$60:$O$60</definedName>
    <definedName name="OSRRefE21_9_0x" localSheetId="68">'325'!$J$60:$O$60</definedName>
    <definedName name="OSRRefE21_9_0x" localSheetId="58">'326'!$J$62:$O$62</definedName>
    <definedName name="OSRRefE21_9_0x" localSheetId="51">'330'!$J$67:$O$67</definedName>
    <definedName name="OSRRefE21_9_0x" localSheetId="56">'331'!$J$79:$O$79</definedName>
    <definedName name="OSRRefE21_9_0x" localSheetId="59">'332'!$J$63:$O$63</definedName>
    <definedName name="OSRRefE21_9_0x" localSheetId="73">'405'!$J$62:$O$62</definedName>
    <definedName name="OSRRefE21_9_0x" localSheetId="75">'411'!$J$58:$O$58</definedName>
    <definedName name="OSRRefE21_9_0x" localSheetId="79">'415'!$J$62:$O$62</definedName>
    <definedName name="OSRRefE21_9_0x" localSheetId="80">'418'!$J$61:$O$61</definedName>
    <definedName name="OSRRefE21_9_0x" localSheetId="87">'433'!$J$62:$O$62</definedName>
    <definedName name="OSRRefE21_9_0x" localSheetId="88">'444'!$J$62:$O$62</definedName>
    <definedName name="OSRRefE21_9_0x" localSheetId="89">'450'!$J$62:$O$62</definedName>
    <definedName name="OSRRefE21_9_0x" localSheetId="72">'491'!$J$64:$O$64</definedName>
    <definedName name="OSRRefE21_9_0x" localSheetId="85">'492'!$J$62:$O$62</definedName>
    <definedName name="OSRRefE21_9_0x" localSheetId="91">'501'!$J$57:$O$57</definedName>
    <definedName name="OSRRefE21_9_0x" localSheetId="39">'Div 2'!$J$57:$O$57</definedName>
    <definedName name="OSRRefE21_9_0x" localSheetId="47">'Div 3'!$J$95:$O$95</definedName>
    <definedName name="OSRRefE21_9_0x" localSheetId="70">'Div 4'!$J$65:$O$65</definedName>
    <definedName name="OSRRefE21_9_0x" localSheetId="90">'Div 5'!$J$57:$O$57</definedName>
    <definedName name="OSRRefE21_9_0x" localSheetId="61">'Div 6'!$J$71:$O$71</definedName>
    <definedName name="OSRRefE21_9_0x" localSheetId="2">Summary!$J$103:$O$103</definedName>
    <definedName name="OSRRefE21_9_1x" localSheetId="41">'201'!$J$55:$O$55</definedName>
    <definedName name="OSRRefE21_9_1x" localSheetId="43">'203'!$J$58:$O$58</definedName>
    <definedName name="OSRRefE21_9_1x" localSheetId="52">'307'!$J$68:$O$68</definedName>
    <definedName name="OSRRefE21_9_1x" localSheetId="53">'308'!$J$73:$O$73</definedName>
    <definedName name="OSRRefE21_9_1x" localSheetId="54">'311'!$J$73:$O$73</definedName>
    <definedName name="OSRRefE21_9_1x" localSheetId="60">'316'!$J$64:$O$64</definedName>
    <definedName name="OSRRefE21_9_1x" localSheetId="66">'321'!$J$61:$O$61</definedName>
    <definedName name="OSRRefE21_9_1x" localSheetId="51">'330'!$J$68:$O$68</definedName>
    <definedName name="OSRRefE21_9_1x" localSheetId="59">'332'!$J$64:$O$64</definedName>
    <definedName name="OSRRefE21_9_1x" localSheetId="73">'405'!$J$63:$O$63</definedName>
    <definedName name="OSRRefE21_9_1x" localSheetId="75">'411'!$J$59:$O$59</definedName>
    <definedName name="OSRRefE21_9_1x" localSheetId="80">'418'!$J$62:$O$62</definedName>
    <definedName name="OSRRefE21_9_1x" localSheetId="91">'501'!$J$58:$O$58</definedName>
    <definedName name="OSRRefE21_9_1x" localSheetId="70">'Div 4'!$J$66:$O$66</definedName>
    <definedName name="OSRRefE21_9_1x" localSheetId="90">'Div 5'!$J$58:$O$58</definedName>
    <definedName name="OSRRefE21_9_2x" localSheetId="41">'201'!$J$56:$O$56</definedName>
    <definedName name="OSRRefE21_9_2x" localSheetId="60">'316'!$J$65:$O$65</definedName>
    <definedName name="OSRRefE21_9_2x" localSheetId="66">'321'!$J$62:$O$62</definedName>
    <definedName name="OSRRefE21_9_2x" localSheetId="59">'332'!$J$65:$O$65</definedName>
    <definedName name="OSRRefE21_9_2x" localSheetId="80">'418'!$J$63:$O$63</definedName>
    <definedName name="OSRRefE21_9_3x" localSheetId="60">'316'!$J$66:$O$66</definedName>
    <definedName name="OSRRefE21_9_3x" localSheetId="66">'321'!$J$63:$O$63</definedName>
    <definedName name="OSRRefE21_9_3x" localSheetId="59">'332'!$J$66:$O$66</definedName>
    <definedName name="OSRRefE21_9x_0" localSheetId="41">'201'!$J$54:$J$56</definedName>
    <definedName name="OSRRefE21_9x_0" localSheetId="42">'202'!$J$56</definedName>
    <definedName name="OSRRefE21_9x_0" localSheetId="43">'203'!$J$57:$J$58</definedName>
    <definedName name="OSRRefE21_9x_0" localSheetId="44">'204'!$J$59</definedName>
    <definedName name="OSRRefE21_9x_0" localSheetId="48">'300'!$J$91</definedName>
    <definedName name="OSRRefE21_9x_0" localSheetId="49">'300 &amp; 317'!$J$97</definedName>
    <definedName name="OSRRefE21_9x_0" localSheetId="50">'301'!$J$58</definedName>
    <definedName name="OSRRefE21_9x_0" localSheetId="52">'307'!$J$67:$J$68</definedName>
    <definedName name="OSRRefE21_9x_0" localSheetId="53">'308'!$J$72:$J$73</definedName>
    <definedName name="OSRRefE21_9x_0" localSheetId="63">'310'!$J$62</definedName>
    <definedName name="OSRRefE21_9x_0" localSheetId="71">'310 &amp; 491'!$J$65</definedName>
    <definedName name="OSRRefE21_9x_0" localSheetId="54">'311'!$J$72:$J$73</definedName>
    <definedName name="OSRRefE21_9x_0" localSheetId="57">'315'!$J$79</definedName>
    <definedName name="OSRRefE21_9x_0" localSheetId="60">'316'!$J$63:$J$66</definedName>
    <definedName name="OSRRefE21_9x_0" localSheetId="62">'317'!$J$71</definedName>
    <definedName name="OSRRefE21_9x_0" localSheetId="66">'321'!$J$60:$J$63</definedName>
    <definedName name="OSRRefE21_9x_0" localSheetId="68">'325'!$J$60</definedName>
    <definedName name="OSRRefE21_9x_0" localSheetId="58">'326'!$J$62</definedName>
    <definedName name="OSRRefE21_9x_0" localSheetId="51">'330'!$J$67:$J$68</definedName>
    <definedName name="OSRRefE21_9x_0" localSheetId="56">'331'!$J$79</definedName>
    <definedName name="OSRRefE21_9x_0" localSheetId="59">'332'!$J$63:$J$66</definedName>
    <definedName name="OSRRefE21_9x_0" localSheetId="73">'405'!$J$62:$J$63</definedName>
    <definedName name="OSRRefE21_9x_0" localSheetId="75">'411'!$J$58:$J$59</definedName>
    <definedName name="OSRRefE21_9x_0" localSheetId="79">'415'!$J$62</definedName>
    <definedName name="OSRRefE21_9x_0" localSheetId="80">'418'!$J$61:$J$63</definedName>
    <definedName name="OSRRefE21_9x_0" localSheetId="87">'433'!$J$62</definedName>
    <definedName name="OSRRefE21_9x_0" localSheetId="88">'444'!$J$62</definedName>
    <definedName name="OSRRefE21_9x_0" localSheetId="89">'450'!$J$62</definedName>
    <definedName name="OSRRefE21_9x_0" localSheetId="72">'491'!$J$64</definedName>
    <definedName name="OSRRefE21_9x_0" localSheetId="85">'492'!$J$62</definedName>
    <definedName name="OSRRefE21_9x_0" localSheetId="91">'501'!$J$57:$J$58</definedName>
    <definedName name="OSRRefE21_9x_0" localSheetId="39">'Div 2'!$J$57</definedName>
    <definedName name="OSRRefE21_9x_0" localSheetId="47">'Div 3'!$J$95</definedName>
    <definedName name="OSRRefE21_9x_0" localSheetId="70">'Div 4'!$J$65:$J$66</definedName>
    <definedName name="OSRRefE21_9x_0" localSheetId="90">'Div 5'!$J$57:$J$58</definedName>
    <definedName name="OSRRefE21_9x_0" localSheetId="61">'Div 6'!$J$71</definedName>
    <definedName name="OSRRefE21_9x_0" localSheetId="2">Summary!$J$103</definedName>
    <definedName name="OSRRefE21_9x_1" localSheetId="41">'201'!$K$54:$K$56</definedName>
    <definedName name="OSRRefE21_9x_1" localSheetId="42">'202'!$K$56</definedName>
    <definedName name="OSRRefE21_9x_1" localSheetId="43">'203'!$K$57:$K$58</definedName>
    <definedName name="OSRRefE21_9x_1" localSheetId="44">'204'!$K$59</definedName>
    <definedName name="OSRRefE21_9x_1" localSheetId="48">'300'!$K$91</definedName>
    <definedName name="OSRRefE21_9x_1" localSheetId="49">'300 &amp; 317'!$K$97</definedName>
    <definedName name="OSRRefE21_9x_1" localSheetId="50">'301'!$K$58</definedName>
    <definedName name="OSRRefE21_9x_1" localSheetId="52">'307'!$K$67:$K$68</definedName>
    <definedName name="OSRRefE21_9x_1" localSheetId="53">'308'!$K$72:$K$73</definedName>
    <definedName name="OSRRefE21_9x_1" localSheetId="63">'310'!$K$62</definedName>
    <definedName name="OSRRefE21_9x_1" localSheetId="71">'310 &amp; 491'!$K$65</definedName>
    <definedName name="OSRRefE21_9x_1" localSheetId="54">'311'!$K$72:$K$73</definedName>
    <definedName name="OSRRefE21_9x_1" localSheetId="57">'315'!$K$79</definedName>
    <definedName name="OSRRefE21_9x_1" localSheetId="60">'316'!$K$63:$K$66</definedName>
    <definedName name="OSRRefE21_9x_1" localSheetId="62">'317'!$K$71</definedName>
    <definedName name="OSRRefE21_9x_1" localSheetId="66">'321'!$K$60:$K$63</definedName>
    <definedName name="OSRRefE21_9x_1" localSheetId="68">'325'!$K$60</definedName>
    <definedName name="OSRRefE21_9x_1" localSheetId="58">'326'!$K$62</definedName>
    <definedName name="OSRRefE21_9x_1" localSheetId="51">'330'!$K$67:$K$68</definedName>
    <definedName name="OSRRefE21_9x_1" localSheetId="56">'331'!$K$79</definedName>
    <definedName name="OSRRefE21_9x_1" localSheetId="59">'332'!$K$63:$K$66</definedName>
    <definedName name="OSRRefE21_9x_1" localSheetId="73">'405'!$K$62:$K$63</definedName>
    <definedName name="OSRRefE21_9x_1" localSheetId="75">'411'!$K$58:$K$59</definedName>
    <definedName name="OSRRefE21_9x_1" localSheetId="79">'415'!$K$62</definedName>
    <definedName name="OSRRefE21_9x_1" localSheetId="80">'418'!$K$61:$K$63</definedName>
    <definedName name="OSRRefE21_9x_1" localSheetId="87">'433'!$K$62</definedName>
    <definedName name="OSRRefE21_9x_1" localSheetId="88">'444'!$K$62</definedName>
    <definedName name="OSRRefE21_9x_1" localSheetId="89">'450'!$K$62</definedName>
    <definedName name="OSRRefE21_9x_1" localSheetId="72">'491'!$K$64</definedName>
    <definedName name="OSRRefE21_9x_1" localSheetId="85">'492'!$K$62</definedName>
    <definedName name="OSRRefE21_9x_1" localSheetId="91">'501'!$K$57:$K$58</definedName>
    <definedName name="OSRRefE21_9x_1" localSheetId="39">'Div 2'!$K$57</definedName>
    <definedName name="OSRRefE21_9x_1" localSheetId="47">'Div 3'!$K$95</definedName>
    <definedName name="OSRRefE21_9x_1" localSheetId="70">'Div 4'!$K$65:$K$66</definedName>
    <definedName name="OSRRefE21_9x_1" localSheetId="90">'Div 5'!$K$57:$K$58</definedName>
    <definedName name="OSRRefE21_9x_1" localSheetId="61">'Div 6'!$K$71</definedName>
    <definedName name="OSRRefE21_9x_1" localSheetId="2">Summary!$K$103</definedName>
    <definedName name="OSRRefE21_9x_2" localSheetId="41">'201'!$L$54:$L$56</definedName>
    <definedName name="OSRRefE21_9x_2" localSheetId="42">'202'!$L$56</definedName>
    <definedName name="OSRRefE21_9x_2" localSheetId="43">'203'!$L$57:$L$58</definedName>
    <definedName name="OSRRefE21_9x_2" localSheetId="44">'204'!$L$59</definedName>
    <definedName name="OSRRefE21_9x_2" localSheetId="48">'300'!$L$91</definedName>
    <definedName name="OSRRefE21_9x_2" localSheetId="49">'300 &amp; 317'!$L$97</definedName>
    <definedName name="OSRRefE21_9x_2" localSheetId="50">'301'!$L$58</definedName>
    <definedName name="OSRRefE21_9x_2" localSheetId="52">'307'!$L$67:$L$68</definedName>
    <definedName name="OSRRefE21_9x_2" localSheetId="53">'308'!$L$72:$L$73</definedName>
    <definedName name="OSRRefE21_9x_2" localSheetId="63">'310'!$L$62</definedName>
    <definedName name="OSRRefE21_9x_2" localSheetId="71">'310 &amp; 491'!$L$65</definedName>
    <definedName name="OSRRefE21_9x_2" localSheetId="54">'311'!$L$72:$L$73</definedName>
    <definedName name="OSRRefE21_9x_2" localSheetId="57">'315'!$L$79</definedName>
    <definedName name="OSRRefE21_9x_2" localSheetId="60">'316'!$L$63:$L$66</definedName>
    <definedName name="OSRRefE21_9x_2" localSheetId="62">'317'!$L$71</definedName>
    <definedName name="OSRRefE21_9x_2" localSheetId="66">'321'!$L$60:$L$63</definedName>
    <definedName name="OSRRefE21_9x_2" localSheetId="68">'325'!$L$60</definedName>
    <definedName name="OSRRefE21_9x_2" localSheetId="58">'326'!$L$62</definedName>
    <definedName name="OSRRefE21_9x_2" localSheetId="51">'330'!$L$67:$L$68</definedName>
    <definedName name="OSRRefE21_9x_2" localSheetId="56">'331'!$L$79</definedName>
    <definedName name="OSRRefE21_9x_2" localSheetId="59">'332'!$L$63:$L$66</definedName>
    <definedName name="OSRRefE21_9x_2" localSheetId="73">'405'!$L$62:$L$63</definedName>
    <definedName name="OSRRefE21_9x_2" localSheetId="75">'411'!$L$58:$L$59</definedName>
    <definedName name="OSRRefE21_9x_2" localSheetId="79">'415'!$L$62</definedName>
    <definedName name="OSRRefE21_9x_2" localSheetId="80">'418'!$L$61:$L$63</definedName>
    <definedName name="OSRRefE21_9x_2" localSheetId="87">'433'!$L$62</definedName>
    <definedName name="OSRRefE21_9x_2" localSheetId="88">'444'!$L$62</definedName>
    <definedName name="OSRRefE21_9x_2" localSheetId="89">'450'!$L$62</definedName>
    <definedName name="OSRRefE21_9x_2" localSheetId="72">'491'!$L$64</definedName>
    <definedName name="OSRRefE21_9x_2" localSheetId="85">'492'!$L$62</definedName>
    <definedName name="OSRRefE21_9x_2" localSheetId="91">'501'!$L$57:$L$58</definedName>
    <definedName name="OSRRefE21_9x_2" localSheetId="39">'Div 2'!$L$57</definedName>
    <definedName name="OSRRefE21_9x_2" localSheetId="47">'Div 3'!$L$95</definedName>
    <definedName name="OSRRefE21_9x_2" localSheetId="70">'Div 4'!$L$65:$L$66</definedName>
    <definedName name="OSRRefE21_9x_2" localSheetId="90">'Div 5'!$L$57:$L$58</definedName>
    <definedName name="OSRRefE21_9x_2" localSheetId="61">'Div 6'!$L$71</definedName>
    <definedName name="OSRRefE21_9x_2" localSheetId="2">Summary!$L$103</definedName>
    <definedName name="OSRRefE21_9x_3" localSheetId="41">'201'!$M$54:$M$56</definedName>
    <definedName name="OSRRefE21_9x_3" localSheetId="42">'202'!$M$56</definedName>
    <definedName name="OSRRefE21_9x_3" localSheetId="43">'203'!$M$57:$M$58</definedName>
    <definedName name="OSRRefE21_9x_3" localSheetId="44">'204'!$M$59</definedName>
    <definedName name="OSRRefE21_9x_3" localSheetId="48">'300'!$M$91</definedName>
    <definedName name="OSRRefE21_9x_3" localSheetId="49">'300 &amp; 317'!$M$97</definedName>
    <definedName name="OSRRefE21_9x_3" localSheetId="50">'301'!$M$58</definedName>
    <definedName name="OSRRefE21_9x_3" localSheetId="52">'307'!$M$67:$M$68</definedName>
    <definedName name="OSRRefE21_9x_3" localSheetId="53">'308'!$M$72:$M$73</definedName>
    <definedName name="OSRRefE21_9x_3" localSheetId="63">'310'!$M$62</definedName>
    <definedName name="OSRRefE21_9x_3" localSheetId="71">'310 &amp; 491'!$M$65</definedName>
    <definedName name="OSRRefE21_9x_3" localSheetId="54">'311'!$M$72:$M$73</definedName>
    <definedName name="OSRRefE21_9x_3" localSheetId="57">'315'!$M$79</definedName>
    <definedName name="OSRRefE21_9x_3" localSheetId="60">'316'!$M$63:$M$66</definedName>
    <definedName name="OSRRefE21_9x_3" localSheetId="62">'317'!$M$71</definedName>
    <definedName name="OSRRefE21_9x_3" localSheetId="66">'321'!$M$60:$M$63</definedName>
    <definedName name="OSRRefE21_9x_3" localSheetId="68">'325'!$M$60</definedName>
    <definedName name="OSRRefE21_9x_3" localSheetId="58">'326'!$M$62</definedName>
    <definedName name="OSRRefE21_9x_3" localSheetId="51">'330'!$M$67:$M$68</definedName>
    <definedName name="OSRRefE21_9x_3" localSheetId="56">'331'!$M$79</definedName>
    <definedName name="OSRRefE21_9x_3" localSheetId="59">'332'!$M$63:$M$66</definedName>
    <definedName name="OSRRefE21_9x_3" localSheetId="73">'405'!$M$62:$M$63</definedName>
    <definedName name="OSRRefE21_9x_3" localSheetId="75">'411'!$M$58:$M$59</definedName>
    <definedName name="OSRRefE21_9x_3" localSheetId="79">'415'!$M$62</definedName>
    <definedName name="OSRRefE21_9x_3" localSheetId="80">'418'!$M$61:$M$63</definedName>
    <definedName name="OSRRefE21_9x_3" localSheetId="87">'433'!$M$62</definedName>
    <definedName name="OSRRefE21_9x_3" localSheetId="88">'444'!$M$62</definedName>
    <definedName name="OSRRefE21_9x_3" localSheetId="89">'450'!$M$62</definedName>
    <definedName name="OSRRefE21_9x_3" localSheetId="72">'491'!$M$64</definedName>
    <definedName name="OSRRefE21_9x_3" localSheetId="85">'492'!$M$62</definedName>
    <definedName name="OSRRefE21_9x_3" localSheetId="91">'501'!$M$57:$M$58</definedName>
    <definedName name="OSRRefE21_9x_3" localSheetId="39">'Div 2'!$M$57</definedName>
    <definedName name="OSRRefE21_9x_3" localSheetId="47">'Div 3'!$M$95</definedName>
    <definedName name="OSRRefE21_9x_3" localSheetId="70">'Div 4'!$M$65:$M$66</definedName>
    <definedName name="OSRRefE21_9x_3" localSheetId="90">'Div 5'!$M$57:$M$58</definedName>
    <definedName name="OSRRefE21_9x_3" localSheetId="61">'Div 6'!$M$71</definedName>
    <definedName name="OSRRefE21_9x_3" localSheetId="2">Summary!$M$103</definedName>
    <definedName name="OSRRefE21_9x_4" localSheetId="41">'201'!$N$54:$N$56</definedName>
    <definedName name="OSRRefE21_9x_4" localSheetId="42">'202'!$N$56</definedName>
    <definedName name="OSRRefE21_9x_4" localSheetId="43">'203'!$N$57:$N$58</definedName>
    <definedName name="OSRRefE21_9x_4" localSheetId="44">'204'!$N$59</definedName>
    <definedName name="OSRRefE21_9x_4" localSheetId="48">'300'!$N$91</definedName>
    <definedName name="OSRRefE21_9x_4" localSheetId="49">'300 &amp; 317'!$N$97</definedName>
    <definedName name="OSRRefE21_9x_4" localSheetId="50">'301'!$N$58</definedName>
    <definedName name="OSRRefE21_9x_4" localSheetId="52">'307'!$N$67:$N$68</definedName>
    <definedName name="OSRRefE21_9x_4" localSheetId="53">'308'!$N$72:$N$73</definedName>
    <definedName name="OSRRefE21_9x_4" localSheetId="63">'310'!$N$62</definedName>
    <definedName name="OSRRefE21_9x_4" localSheetId="71">'310 &amp; 491'!$N$65</definedName>
    <definedName name="OSRRefE21_9x_4" localSheetId="54">'311'!$N$72:$N$73</definedName>
    <definedName name="OSRRefE21_9x_4" localSheetId="57">'315'!$N$79</definedName>
    <definedName name="OSRRefE21_9x_4" localSheetId="60">'316'!$N$63:$N$66</definedName>
    <definedName name="OSRRefE21_9x_4" localSheetId="62">'317'!$N$71</definedName>
    <definedName name="OSRRefE21_9x_4" localSheetId="66">'321'!$N$60:$N$63</definedName>
    <definedName name="OSRRefE21_9x_4" localSheetId="68">'325'!$N$60</definedName>
    <definedName name="OSRRefE21_9x_4" localSheetId="58">'326'!$N$62</definedName>
    <definedName name="OSRRefE21_9x_4" localSheetId="51">'330'!$N$67:$N$68</definedName>
    <definedName name="OSRRefE21_9x_4" localSheetId="56">'331'!$N$79</definedName>
    <definedName name="OSRRefE21_9x_4" localSheetId="59">'332'!$N$63:$N$66</definedName>
    <definedName name="OSRRefE21_9x_4" localSheetId="73">'405'!$N$62:$N$63</definedName>
    <definedName name="OSRRefE21_9x_4" localSheetId="75">'411'!$N$58:$N$59</definedName>
    <definedName name="OSRRefE21_9x_4" localSheetId="79">'415'!$N$62</definedName>
    <definedName name="OSRRefE21_9x_4" localSheetId="80">'418'!$N$61:$N$63</definedName>
    <definedName name="OSRRefE21_9x_4" localSheetId="87">'433'!$N$62</definedName>
    <definedName name="OSRRefE21_9x_4" localSheetId="88">'444'!$N$62</definedName>
    <definedName name="OSRRefE21_9x_4" localSheetId="89">'450'!$N$62</definedName>
    <definedName name="OSRRefE21_9x_4" localSheetId="72">'491'!$N$64</definedName>
    <definedName name="OSRRefE21_9x_4" localSheetId="85">'492'!$N$62</definedName>
    <definedName name="OSRRefE21_9x_4" localSheetId="91">'501'!$N$57:$N$58</definedName>
    <definedName name="OSRRefE21_9x_4" localSheetId="39">'Div 2'!$N$57</definedName>
    <definedName name="OSRRefE21_9x_4" localSheetId="47">'Div 3'!$N$95</definedName>
    <definedName name="OSRRefE21_9x_4" localSheetId="70">'Div 4'!$N$65:$N$66</definedName>
    <definedName name="OSRRefE21_9x_4" localSheetId="90">'Div 5'!$N$57:$N$58</definedName>
    <definedName name="OSRRefE21_9x_4" localSheetId="61">'Div 6'!$N$71</definedName>
    <definedName name="OSRRefE21_9x_4" localSheetId="2">Summary!$N$103</definedName>
    <definedName name="OSRRefE21_9x_5" localSheetId="41">'201'!$O$54:$O$56</definedName>
    <definedName name="OSRRefE21_9x_5" localSheetId="42">'202'!$O$56</definedName>
    <definedName name="OSRRefE21_9x_5" localSheetId="43">'203'!$O$57:$O$58</definedName>
    <definedName name="OSRRefE21_9x_5" localSheetId="44">'204'!$O$59</definedName>
    <definedName name="OSRRefE21_9x_5" localSheetId="48">'300'!$O$91</definedName>
    <definedName name="OSRRefE21_9x_5" localSheetId="49">'300 &amp; 317'!$O$97</definedName>
    <definedName name="OSRRefE21_9x_5" localSheetId="50">'301'!$O$58</definedName>
    <definedName name="OSRRefE21_9x_5" localSheetId="52">'307'!$O$67:$O$68</definedName>
    <definedName name="OSRRefE21_9x_5" localSheetId="53">'308'!$O$72:$O$73</definedName>
    <definedName name="OSRRefE21_9x_5" localSheetId="63">'310'!$O$62</definedName>
    <definedName name="OSRRefE21_9x_5" localSheetId="71">'310 &amp; 491'!$O$65</definedName>
    <definedName name="OSRRefE21_9x_5" localSheetId="54">'311'!$O$72:$O$73</definedName>
    <definedName name="OSRRefE21_9x_5" localSheetId="57">'315'!$O$79</definedName>
    <definedName name="OSRRefE21_9x_5" localSheetId="60">'316'!$O$63:$O$66</definedName>
    <definedName name="OSRRefE21_9x_5" localSheetId="62">'317'!$O$71</definedName>
    <definedName name="OSRRefE21_9x_5" localSheetId="66">'321'!$O$60:$O$63</definedName>
    <definedName name="OSRRefE21_9x_5" localSheetId="68">'325'!$O$60</definedName>
    <definedName name="OSRRefE21_9x_5" localSheetId="58">'326'!$O$62</definedName>
    <definedName name="OSRRefE21_9x_5" localSheetId="51">'330'!$O$67:$O$68</definedName>
    <definedName name="OSRRefE21_9x_5" localSheetId="56">'331'!$O$79</definedName>
    <definedName name="OSRRefE21_9x_5" localSheetId="59">'332'!$O$63:$O$66</definedName>
    <definedName name="OSRRefE21_9x_5" localSheetId="73">'405'!$O$62:$O$63</definedName>
    <definedName name="OSRRefE21_9x_5" localSheetId="75">'411'!$O$58:$O$59</definedName>
    <definedName name="OSRRefE21_9x_5" localSheetId="79">'415'!$O$62</definedName>
    <definedName name="OSRRefE21_9x_5" localSheetId="80">'418'!$O$61:$O$63</definedName>
    <definedName name="OSRRefE21_9x_5" localSheetId="87">'433'!$O$62</definedName>
    <definedName name="OSRRefE21_9x_5" localSheetId="88">'444'!$O$62</definedName>
    <definedName name="OSRRefE21_9x_5" localSheetId="89">'450'!$O$62</definedName>
    <definedName name="OSRRefE21_9x_5" localSheetId="72">'491'!$O$64</definedName>
    <definedName name="OSRRefE21_9x_5" localSheetId="85">'492'!$O$62</definedName>
    <definedName name="OSRRefE21_9x_5" localSheetId="91">'501'!$O$57:$O$58</definedName>
    <definedName name="OSRRefE21_9x_5" localSheetId="39">'Div 2'!$O$57</definedName>
    <definedName name="OSRRefE21_9x_5" localSheetId="47">'Div 3'!$O$95</definedName>
    <definedName name="OSRRefE21_9x_5" localSheetId="70">'Div 4'!$O$65:$O$66</definedName>
    <definedName name="OSRRefE21_9x_5" localSheetId="90">'Div 5'!$O$57:$O$58</definedName>
    <definedName name="OSRRefE21_9x_5" localSheetId="61">'Div 6'!$O$71</definedName>
    <definedName name="OSRRefE21_9x_5" localSheetId="2">Summary!$O$103</definedName>
    <definedName name="OSRRefE23_0x" localSheetId="38">'100'!$J$19:$O$19</definedName>
    <definedName name="OSRRefE23_0x" localSheetId="40">'200'!$J$28:$O$28</definedName>
    <definedName name="OSRRefE23_0x" localSheetId="41">'201'!$J$70:$O$70</definedName>
    <definedName name="OSRRefE23_0x" localSheetId="42">'202'!$J$64:$O$64</definedName>
    <definedName name="OSRRefE23_0x" localSheetId="43">'203'!$J$71:$O$71</definedName>
    <definedName name="OSRRefE23_0x" localSheetId="44">'204'!$J$61:$O$61</definedName>
    <definedName name="OSRRefE23_0x" localSheetId="45">'205'!$J$55:$O$55</definedName>
    <definedName name="OSRRefE23_0x" localSheetId="46">'206'!$J$50:$O$50</definedName>
    <definedName name="OSRRefE23_0x" localSheetId="48">'300'!$J$142:$O$142</definedName>
    <definedName name="OSRRefE23_0x" localSheetId="49">'300 &amp; 317'!$J$148:$O$148</definedName>
    <definedName name="OSRRefE23_0x" localSheetId="50">'301'!$J$96:$O$96</definedName>
    <definedName name="OSRRefE23_0x" localSheetId="52">'307'!$J$80:$O$80</definedName>
    <definedName name="OSRRefE23_0x" localSheetId="53">'308'!$J$83:$O$83</definedName>
    <definedName name="OSRRefE23_0x" localSheetId="64">'309'!$J$34:$O$34</definedName>
    <definedName name="OSRRefE23_0x" localSheetId="63">'310'!$J$88:$O$88</definedName>
    <definedName name="OSRRefE23_0x" localSheetId="71">'310 &amp; 491'!$J$107:$O$107</definedName>
    <definedName name="OSRRefE23_0x" localSheetId="54">'311'!$J$83:$O$83</definedName>
    <definedName name="OSRRefE23_0x" localSheetId="65">'313'!$J$25:$O$25</definedName>
    <definedName name="OSRRefE23_0x" localSheetId="57">'315'!$J$104:$O$104</definedName>
    <definedName name="OSRRefE23_0x" localSheetId="60">'316'!$J$70:$O$70</definedName>
    <definedName name="OSRRefE23_0x" localSheetId="62">'317'!$J$73:$O$73</definedName>
    <definedName name="OSRRefE23_0x" localSheetId="66">'321'!$J$69:$O$69</definedName>
    <definedName name="OSRRefE23_0x" localSheetId="67">'322'!$J$21:$O$21</definedName>
    <definedName name="OSRRefE23_0x" localSheetId="55">'324'!$J$22:$O$22</definedName>
    <definedName name="OSRRefE23_0x" localSheetId="68">'325'!$J$82:$O$82</definedName>
    <definedName name="OSRRefE23_0x" localSheetId="58">'326'!$J$86:$O$86</definedName>
    <definedName name="OSRRefE23_0x" localSheetId="69">'327'!$J$27:$O$27</definedName>
    <definedName name="OSRRefE23_0x" localSheetId="51">'330'!$J$80:$O$80</definedName>
    <definedName name="OSRRefE23_0x" localSheetId="56">'331'!$J$115:$O$115</definedName>
    <definedName name="OSRRefE23_0x" localSheetId="59">'332'!$J$70:$O$70</definedName>
    <definedName name="OSRRefE23_0x" localSheetId="73">'405'!$J$88:$O$88</definedName>
    <definedName name="OSRRefE23_0x" localSheetId="74">'406'!$J$21:$O$21</definedName>
    <definedName name="OSRRefE23_0x" localSheetId="75">'411'!$J$71:$O$71</definedName>
    <definedName name="OSRRefE23_0x" localSheetId="76">'412'!$J$25:$O$25</definedName>
    <definedName name="OSRRefE23_0x" localSheetId="77">'413'!$J$23:$O$23</definedName>
    <definedName name="OSRRefE23_0x" localSheetId="78">'414'!$J$23:$O$23</definedName>
    <definedName name="OSRRefE23_0x" localSheetId="79">'415'!$J$89:$O$89</definedName>
    <definedName name="OSRRefE23_0x" localSheetId="80">'418'!$J$84:$O$84</definedName>
    <definedName name="OSRRefE23_0x" localSheetId="81">'423'!$J$45:$O$45</definedName>
    <definedName name="OSRRefE23_0x" localSheetId="82">'424'!$J$23:$O$23</definedName>
    <definedName name="OSRRefE23_0x" localSheetId="84">'425'!$J$31:$O$31</definedName>
    <definedName name="OSRRefE23_0x" localSheetId="86">'430'!$J$56:$O$56</definedName>
    <definedName name="OSRRefE23_0x" localSheetId="87">'433'!$J$88:$O$88</definedName>
    <definedName name="OSRRefE23_0x" localSheetId="88">'444'!$J$87:$O$87</definedName>
    <definedName name="OSRRefE23_0x" localSheetId="89">'450'!$J$88:$O$88</definedName>
    <definedName name="OSRRefE23_0x" localSheetId="83">'455'!$J$19:$O$19</definedName>
    <definedName name="OSRRefE23_0x" localSheetId="72">'491'!$J$104:$O$104</definedName>
    <definedName name="OSRRefE23_0x" localSheetId="85">'492'!$J$94:$O$94</definedName>
    <definedName name="OSRRefE23_0x" localSheetId="91">'501'!$J$70:$O$70</definedName>
    <definedName name="OSRRefE23_0x" localSheetId="5">'Div 1'!$J$19:$O$19</definedName>
    <definedName name="OSRRefE23_0x" localSheetId="39">'Div 2'!$J$92:$O$92</definedName>
    <definedName name="OSRRefE23_0x" localSheetId="47">'Div 3'!$J$149:$O$149</definedName>
    <definedName name="OSRRefE23_0x" localSheetId="70">'Div 4'!$J$112:$O$112</definedName>
    <definedName name="OSRRefE23_0x" localSheetId="90">'Div 5'!$J$70:$O$70</definedName>
    <definedName name="OSRRefE23_0x" localSheetId="61">'Div 6'!$J$73:$O$73</definedName>
    <definedName name="OSRRefE23_0x" localSheetId="2">Summary!$J$164:$O$164</definedName>
    <definedName name="OSRRefE28_0x" localSheetId="38">'100'!$J$24:$O$24</definedName>
    <definedName name="OSRRefE28_0x" localSheetId="40">'200'!$J$33:$O$33</definedName>
    <definedName name="OSRRefE28_0x" localSheetId="41">'201'!$J$75:$O$75</definedName>
    <definedName name="OSRRefE28_0x" localSheetId="42">'202'!$J$69:$O$69</definedName>
    <definedName name="OSRRefE28_0x" localSheetId="43">'203'!$J$76:$O$76</definedName>
    <definedName name="OSRRefE28_0x" localSheetId="44">'204'!$J$66:$O$66</definedName>
    <definedName name="OSRRefE28_0x" localSheetId="45">'205'!$J$60:$O$60</definedName>
    <definedName name="OSRRefE28_0x" localSheetId="46">'206'!$J$55:$O$55</definedName>
    <definedName name="OSRRefE28_0x" localSheetId="48">'300'!$J$147:$O$147</definedName>
    <definedName name="OSRRefE28_0x" localSheetId="49">'300 &amp; 317'!$J$153:$O$153</definedName>
    <definedName name="OSRRefE28_0x" localSheetId="50">'301'!$J$101:$O$101</definedName>
    <definedName name="OSRRefE28_0x" localSheetId="52">'307'!$J$85:$O$85</definedName>
    <definedName name="OSRRefE28_0x" localSheetId="53">'308'!$J$88:$O$88</definedName>
    <definedName name="OSRRefE28_0x" localSheetId="64">'309'!$J$39:$O$39</definedName>
    <definedName name="OSRRefE28_0x" localSheetId="63">'310'!$J$93:$O$93</definedName>
    <definedName name="OSRRefE28_0x" localSheetId="71">'310 &amp; 491'!$J$112:$O$112</definedName>
    <definedName name="OSRRefE28_0x" localSheetId="54">'311'!$J$88:$O$88</definedName>
    <definedName name="OSRRefE28_0x" localSheetId="65">'313'!$J$30:$O$30</definedName>
    <definedName name="OSRRefE28_0x" localSheetId="57">'315'!$J$109:$O$109</definedName>
    <definedName name="OSRRefE28_0x" localSheetId="60">'316'!$J$75:$O$75</definedName>
    <definedName name="OSRRefE28_0x" localSheetId="62">'317'!$J$78:$O$78</definedName>
    <definedName name="OSRRefE28_0x" localSheetId="66">'321'!$J$74:$O$74</definedName>
    <definedName name="OSRRefE28_0x" localSheetId="67">'322'!$J$26:$O$26</definedName>
    <definedName name="OSRRefE28_0x" localSheetId="55">'324'!$J$27:$O$27</definedName>
    <definedName name="OSRRefE28_0x" localSheetId="68">'325'!$J$87:$O$87</definedName>
    <definedName name="OSRRefE28_0x" localSheetId="58">'326'!$J$91:$O$91</definedName>
    <definedName name="OSRRefE28_0x" localSheetId="69">'327'!$J$32:$O$32</definedName>
    <definedName name="OSRRefE28_0x" localSheetId="51">'330'!$J$85:$O$85</definedName>
    <definedName name="OSRRefE28_0x" localSheetId="56">'331'!$J$120:$O$120</definedName>
    <definedName name="OSRRefE28_0x" localSheetId="59">'332'!$J$75:$O$75</definedName>
    <definedName name="OSRRefE28_0x" localSheetId="73">'405'!$J$93:$O$93</definedName>
    <definedName name="OSRRefE28_0x" localSheetId="74">'406'!$J$26:$O$26</definedName>
    <definedName name="OSRRefE28_0x" localSheetId="75">'411'!$J$76:$O$76</definedName>
    <definedName name="OSRRefE28_0x" localSheetId="76">'412'!$J$30:$O$30</definedName>
    <definedName name="OSRRefE28_0x" localSheetId="77">'413'!$J$28:$O$28</definedName>
    <definedName name="OSRRefE28_0x" localSheetId="78">'414'!$J$28:$O$28</definedName>
    <definedName name="OSRRefE28_0x" localSheetId="79">'415'!$J$94:$O$94</definedName>
    <definedName name="OSRRefE28_0x" localSheetId="80">'418'!$J$89:$O$89</definedName>
    <definedName name="OSRRefE28_0x" localSheetId="81">'423'!$J$50:$O$50</definedName>
    <definedName name="OSRRefE28_0x" localSheetId="82">'424'!$J$28:$O$28</definedName>
    <definedName name="OSRRefE28_0x" localSheetId="84">'425'!$J$36:$O$36</definedName>
    <definedName name="OSRRefE28_0x" localSheetId="86">'430'!$J$61:$O$61</definedName>
    <definedName name="OSRRefE28_0x" localSheetId="87">'433'!$J$93:$O$93</definedName>
    <definedName name="OSRRefE28_0x" localSheetId="88">'444'!$J$92:$O$92</definedName>
    <definedName name="OSRRefE28_0x" localSheetId="89">'450'!$J$93:$O$93</definedName>
    <definedName name="OSRRefE28_0x" localSheetId="83">'455'!$J$24:$O$24</definedName>
    <definedName name="OSRRefE28_0x" localSheetId="72">'491'!$J$109:$O$109</definedName>
    <definedName name="OSRRefE28_0x" localSheetId="85">'492'!$J$99:$O$99</definedName>
    <definedName name="OSRRefE28_0x" localSheetId="91">'501'!$J$75:$O$75</definedName>
    <definedName name="OSRRefE28_0x" localSheetId="47">'Div 3'!$J$154:$O$154</definedName>
    <definedName name="OSRRefE28_0x" localSheetId="70">'Div 4'!$J$117:$O$117</definedName>
    <definedName name="OSRRefE28_0x" localSheetId="90">'Div 5'!$J$75:$O$75</definedName>
    <definedName name="OSRRefE28_0x" localSheetId="61">'Div 6'!$J$78:$O$78</definedName>
    <definedName name="OSRRefE28_0x" localSheetId="2">Summary!$J$169:$O$169</definedName>
    <definedName name="OSRRefE33_0x" localSheetId="38">'100'!$J$29:$O$29</definedName>
    <definedName name="OSRRefE33_0x" localSheetId="5">'Div 1'!$J$28:$O$28</definedName>
    <definedName name="OSRRefE33_0x" localSheetId="2">Summary!$J$174:$O$174</definedName>
    <definedName name="OSRRefE34_0x" localSheetId="38">'100'!$J$30:$O$30</definedName>
    <definedName name="OSRRefE34_0x" localSheetId="5">'Div 1'!$J$29:$O$29</definedName>
    <definedName name="OSRRefE34_0x" localSheetId="2">Summary!$J$175:$O$175</definedName>
    <definedName name="OSRRefG11x" localSheetId="48">'300'!$Q$11:$Q$17</definedName>
    <definedName name="OSRRefG11x" localSheetId="49">'300 &amp; 317'!$Q$11:$Q$17</definedName>
    <definedName name="OSRRefG11x" localSheetId="52">'307'!$Q$11:$Q$14</definedName>
    <definedName name="OSRRefG11x" localSheetId="53">'308'!$Q$11:$Q$15</definedName>
    <definedName name="OSRRefG11x" localSheetId="63">'310'!$Q$11:$Q$14</definedName>
    <definedName name="OSRRefG11x" localSheetId="71">'310 &amp; 491'!$Q$11:$Q$16</definedName>
    <definedName name="OSRRefG11x" localSheetId="54">'311'!$Q$11:$Q$15</definedName>
    <definedName name="OSRRefG11x" localSheetId="57">'315'!$Q$11:$Q$15</definedName>
    <definedName name="OSRRefG11x" localSheetId="60">'316'!$Q$11:$Q$15</definedName>
    <definedName name="OSRRefG11x" localSheetId="62">'317'!$Q$11:$Q$15</definedName>
    <definedName name="OSRRefG11x" localSheetId="66">'321'!$Q$11:$Q$12</definedName>
    <definedName name="OSRRefG11x" localSheetId="55">'324'!$Q$11:$Q$12</definedName>
    <definedName name="OSRRefG11x" localSheetId="68">'325'!$Q$11:$Q$12</definedName>
    <definedName name="OSRRefG11x" localSheetId="58">'326'!$Q$11:$Q$14</definedName>
    <definedName name="OSRRefG11x" localSheetId="69">'327'!$Q$11:$Q$13</definedName>
    <definedName name="OSRRefG11x" localSheetId="51">'330'!$Q$11:$Q$14</definedName>
    <definedName name="OSRRefG11x" localSheetId="56">'331'!$Q$11:$Q$15</definedName>
    <definedName name="OSRRefG11x" localSheetId="59">'332'!$Q$11:$Q$15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4">'425'!$Q$11</definedName>
    <definedName name="OSRRefG11x" localSheetId="87">'433'!$Q$11:$Q$14</definedName>
    <definedName name="OSRRefG11x" localSheetId="88">'444'!$Q$11:$Q$14</definedName>
    <definedName name="OSRRefG11x" localSheetId="89">'450'!$Q$11:$Q$14</definedName>
    <definedName name="OSRRefG11x" localSheetId="72">'491'!$Q$11:$Q$15</definedName>
    <definedName name="OSRRefG11x" localSheetId="85">'492'!$Q$11:$Q$14</definedName>
    <definedName name="OSRRefG11x" localSheetId="91">'501'!$Q$11</definedName>
    <definedName name="OSRRefG11x" localSheetId="47">'Div 3'!$Q$11:$Q$19</definedName>
    <definedName name="OSRRefG11x" localSheetId="70">'Div 4'!$Q$11:$Q$16</definedName>
    <definedName name="OSRRefG11x" localSheetId="90">'Div 5'!$Q$11</definedName>
    <definedName name="OSRRefG11x" localSheetId="61">'Div 6'!$Q$11:$Q$15</definedName>
    <definedName name="OSRRefG11x" localSheetId="2">Summary!$Q$11:$Q$21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2">'307'!$Q$17:$Q$26</definedName>
    <definedName name="OSRRefG14x" localSheetId="53">'308'!$Q$18:$Q$27</definedName>
    <definedName name="OSRRefG14x" localSheetId="63">'310'!$Q$17:$Q$19</definedName>
    <definedName name="OSRRefG14x" localSheetId="71">'310 &amp; 491'!$Q$19:$Q$21</definedName>
    <definedName name="OSRRefG14x" localSheetId="54">'311'!$Q$18:$Q$27</definedName>
    <definedName name="OSRRefG14x" localSheetId="57">'315'!$Q$18:$Q$36</definedName>
    <definedName name="OSRRefG14x" localSheetId="60">'316'!$Q$18:$Q$19</definedName>
    <definedName name="OSRRefG14x" localSheetId="62">'317'!$Q$18:$Q$27</definedName>
    <definedName name="OSRRefG14x" localSheetId="66">'321'!$Q$15:$Q$16</definedName>
    <definedName name="OSRRefG14x" localSheetId="55">'324'!$Q$15</definedName>
    <definedName name="OSRRefG14x" localSheetId="68">'325'!$Q$15:$Q$17</definedName>
    <definedName name="OSRRefG14x" localSheetId="58">'326'!$Q$17:$Q$20</definedName>
    <definedName name="OSRRefG14x" localSheetId="69">'327'!$Q$16:$Q$18</definedName>
    <definedName name="OSRRefG14x" localSheetId="51">'330'!$Q$17:$Q$26</definedName>
    <definedName name="OSRRefG14x" localSheetId="56">'331'!$Q$18:$Q$36</definedName>
    <definedName name="OSRRefG14x" localSheetId="59">'332'!$Q$18:$Q$19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4">'425'!$Q$14</definedName>
    <definedName name="OSRRefG14x" localSheetId="87">'433'!$Q$17:$Q$19</definedName>
    <definedName name="OSRRefG14x" localSheetId="88">'444'!$Q$17:$Q$19</definedName>
    <definedName name="OSRRefG14x" localSheetId="89">'450'!$Q$17:$Q$19</definedName>
    <definedName name="OSRRefG14x" localSheetId="72">'491'!$Q$18:$Q$20</definedName>
    <definedName name="OSRRefG14x" localSheetId="85">'492'!$Q$17:$Q$19</definedName>
    <definedName name="OSRRefG14x" localSheetId="47">'Div 3'!$Q$22:$Q$50</definedName>
    <definedName name="OSRRefG14x" localSheetId="70">'Div 4'!$Q$19:$Q$21</definedName>
    <definedName name="OSRRefG14x" localSheetId="61">'Div 6'!$Q$18:$Q$27</definedName>
    <definedName name="OSRRefG14x" localSheetId="2">Summary!$Q$24:$Q$58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</definedName>
    <definedName name="OSRRefG20x" localSheetId="42">'202'!$Q$18,'202'!$Q$28,'202'!$Q$39,'202'!$Q$41,'202'!$Q$43,'202'!$Q$45,'202'!$Q$47,'202'!$Q$49,'202'!$Q$53,'202'!$Q$55,'202'!$Q$57,'202'!$Q$59,'202'!$Q$61</definedName>
    <definedName name="OSRRefG20x" localSheetId="43">'203'!$Q$18,'203'!$Q$29,'203'!$Q$40,'203'!$Q$42,'203'!$Q$44,'203'!$Q$46,'203'!$Q$48,'203'!$Q$50,'203'!$Q$52,'203'!$Q$56,'203'!$Q$59,'203'!$Q$61,'203'!$Q$66,'203'!$Q$68</definedName>
    <definedName name="OSRRefG20x" localSheetId="44">'204'!$Q$18,'204'!$Q$28,'204'!$Q$39,'204'!$Q$42,'204'!$Q$44,'204'!$Q$49,'204'!$Q$51,'204'!$Q$53,'204'!$Q$56,'204'!$Q$58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$86,'300'!$Q$88,'300'!$Q$90,'300'!$Q$92,'300'!$Q$95,'300'!$Q$97,'300'!$Q$99,'300'!$Q$101,'300'!$Q$103,'300'!$Q$105,'300'!$Q$110,'300'!$Q$115,'300'!$Q$119,'300'!$Q$122,'300'!$Q$130,'300'!$Q$133,'300'!$Q$135,'300'!$Q$139</definedName>
    <definedName name="OSRRefG20x" localSheetId="49">'300 &amp; 317'!$Q$58,'300 &amp; 317'!$Q$69,'300 &amp; 317'!$Q$80,'300 &amp; 317'!$Q$82,'300 &amp; 317'!$Q$84,'300 &amp; 317'!$Q$86,'300 &amp; 317'!$Q$89,'300 &amp; 317'!$Q$92,'300 &amp; 317'!$Q$94,'300 &amp; 317'!$Q$96,'300 &amp; 317'!$Q$98,'300 &amp; 317'!$Q$101,'300 &amp; 317'!$Q$103,'300 &amp; 317'!$Q$105,'300 &amp; 317'!$Q$107,'300 &amp; 317'!$Q$109,'300 &amp; 317'!$Q$111,'300 &amp; 317'!$Q$116,'300 &amp; 317'!$Q$121,'300 &amp; 317'!$Q$125,'300 &amp; 317'!$Q$128,'300 &amp; 317'!$Q$136,'300 &amp; 317'!$Q$139,'300 &amp; 317'!$Q$141,'300 &amp; 317'!$Q$145</definedName>
    <definedName name="OSRRefG20x" localSheetId="50">'301'!$Q$19,'301'!$Q$30,'301'!$Q$41,'301'!$Q$43,'301'!$Q$45,'301'!$Q$47,'301'!$Q$50,'301'!$Q$53,'301'!$Q$55,'301'!$Q$57,'301'!$Q$59,'301'!$Q$61,'301'!$Q$63,'301'!$Q$65,'301'!$Q$67,'301'!$Q$69,'301'!$Q$74,'301'!$Q$77,'301'!$Q$79,'301'!$Q$86,'301'!$Q$88,'301'!$Q$90,'301'!$Q$93</definedName>
    <definedName name="OSRRefG20x" localSheetId="52">'307'!$Q$32,'307'!$Q$41,'307'!$Q$52,'307'!$Q$54,'307'!$Q$56,'307'!$Q$58,'307'!$Q$60,'307'!$Q$62,'307'!$Q$64,'307'!$Q$66,'307'!$Q$69,'307'!$Q$72,'307'!$Q$77</definedName>
    <definedName name="OSRRefG20x" localSheetId="53">'308'!$Q$33,'308'!$Q$44,'308'!$Q$55,'308'!$Q$57,'308'!$Q$59,'308'!$Q$61,'308'!$Q$63,'308'!$Q$65,'308'!$Q$67,'308'!$Q$71,'308'!$Q$74,'308'!$Q$77,'308'!$Q$80</definedName>
    <definedName name="OSRRefG20x" localSheetId="64">'309'!$Q$18,'309'!$Q$20,'309'!$Q$22,'309'!$Q$24,'309'!$Q$26,'309'!$Q$29,'309'!$Q$31</definedName>
    <definedName name="OSRRefG20x" localSheetId="63">'310'!$Q$25,'310'!$Q$35,'310'!$Q$46,'310'!$Q$48,'310'!$Q$50,'310'!$Q$52,'310'!$Q$55,'310'!$Q$57,'310'!$Q$59,'310'!$Q$61,'310'!$Q$63,'310'!$Q$65,'310'!$Q$68,'310'!$Q$70,'310'!$Q$74,'310'!$Q$80,'310'!$Q$83,'310'!$Q$85</definedName>
    <definedName name="OSRRefG20x" localSheetId="71">'310 &amp; 491'!$Q$27,'310 &amp; 491'!$Q$37,'310 &amp; 491'!$Q$48,'310 &amp; 491'!$Q$50,'310 &amp; 491'!$Q$52,'310 &amp; 491'!$Q$54,'310 &amp; 491'!$Q$57,'310 &amp; 491'!$Q$59,'310 &amp; 491'!$Q$61,'310 &amp; 491'!$Q$64,'310 &amp; 491'!$Q$66,'310 &amp; 491'!$Q$68,'310 &amp; 491'!$Q$70,'310 &amp; 491'!$Q$75,'310 &amp; 491'!$Q$78,'310 &amp; 491'!$Q$84,'310 &amp; 491'!$Q$86,'310 &amp; 491'!$Q$97,'310 &amp; 491'!$Q$100,'310 &amp; 491'!$Q$102,'310 &amp; 491'!$Q$104</definedName>
    <definedName name="OSRRefG20x" localSheetId="54">'311'!$Q$33,'311'!$Q$44,'311'!$Q$55,'311'!$Q$57,'311'!$Q$59,'311'!$Q$61,'311'!$Q$63,'311'!$Q$65,'311'!$Q$67,'311'!$Q$71,'311'!$Q$74,'311'!$Q$77,'311'!$Q$80</definedName>
    <definedName name="OSRRefG20x" localSheetId="65">'313'!$Q$18,'313'!$Q$20,'313'!$Q$22</definedName>
    <definedName name="OSRRefG20x" localSheetId="57">'315'!$Q$42,'315'!$Q$52,'315'!$Q$63,'315'!$Q$65,'315'!$Q$67,'315'!$Q$69,'315'!$Q$71,'315'!$Q$73,'315'!$Q$75,'315'!$Q$78,'315'!$Q$80,'315'!$Q$82,'315'!$Q$84,'315'!$Q$87,'315'!$Q$91,'315'!$Q$94,'315'!$Q$99,'315'!$Q$101</definedName>
    <definedName name="OSRRefG20x" localSheetId="60">'316'!$Q$25,'316'!$Q$35,'316'!$Q$46,'316'!$Q$48,'316'!$Q$50,'316'!$Q$52,'316'!$Q$55,'316'!$Q$57,'316'!$Q$60,'316'!$Q$62,'316'!$Q$67</definedName>
    <definedName name="OSRRefG20x" localSheetId="62">'317'!$Q$33,'317'!$Q$44,'317'!$Q$55,'317'!$Q$57,'317'!$Q$59,'317'!$Q$61,'317'!$Q$63,'317'!$Q$65,'317'!$Q$67,'317'!$Q$70</definedName>
    <definedName name="OSRRefG20x" localSheetId="66">'321'!$Q$22,'321'!$Q$32,'321'!$Q$43,'321'!$Q$45,'321'!$Q$47,'321'!$Q$49,'321'!$Q$51,'321'!$Q$54,'321'!$Q$56,'321'!$Q$59,'321'!$Q$64,'321'!$Q$66</definedName>
    <definedName name="OSRRefG20x" localSheetId="67">'322'!$Q$18</definedName>
    <definedName name="OSRRefG20x" localSheetId="68">'325'!$Q$23,'325'!$Q$33,'325'!$Q$44,'325'!$Q$46,'325'!$Q$48,'325'!$Q$50,'325'!$Q$53,'325'!$Q$55,'325'!$Q$57,'325'!$Q$59,'325'!$Q$61,'325'!$Q$63,'325'!$Q$66,'325'!$Q$70,'325'!$Q$76,'325'!$Q$79</definedName>
    <definedName name="OSRRefG20x" localSheetId="58">'326'!$Q$26,'326'!$Q$36,'326'!$Q$47,'326'!$Q$49,'326'!$Q$51,'326'!$Q$53,'326'!$Q$55,'326'!$Q$57,'326'!$Q$59,'326'!$Q$61,'326'!$Q$63,'326'!$Q$65,'326'!$Q$68,'326'!$Q$71,'326'!$Q$74,'326'!$Q$78,'326'!$Q$80,'326'!$Q$83</definedName>
    <definedName name="OSRRefG20x" localSheetId="69">'327'!$Q$24</definedName>
    <definedName name="OSRRefG20x" localSheetId="51">'330'!$Q$32,'330'!$Q$41,'330'!$Q$52,'330'!$Q$54,'330'!$Q$56,'330'!$Q$58,'330'!$Q$60,'330'!$Q$62,'330'!$Q$64,'330'!$Q$66,'330'!$Q$69,'330'!$Q$72,'330'!$Q$77</definedName>
    <definedName name="OSRRefG20x" localSheetId="56">'331'!$Q$42,'331'!$Q$52,'331'!$Q$63,'331'!$Q$65,'331'!$Q$67,'331'!$Q$69,'331'!$Q$71,'331'!$Q$73,'331'!$Q$75,'331'!$Q$78,'331'!$Q$80,'331'!$Q$82,'331'!$Q$84,'331'!$Q$86,'331'!$Q$88,'331'!$Q$91,'331'!$Q$95,'331'!$Q$98,'331'!$Q$101,'331'!$Q$107,'331'!$Q$109,'331'!$Q$112</definedName>
    <definedName name="OSRRefG20x" localSheetId="59">'332'!$Q$25,'332'!$Q$35,'332'!$Q$46,'332'!$Q$48,'332'!$Q$50,'332'!$Q$52,'332'!$Q$55,'332'!$Q$57,'332'!$Q$60,'332'!$Q$62,'332'!$Q$67</definedName>
    <definedName name="OSRRefG20x" localSheetId="73">'405'!$Q$25,'405'!$Q$35,'405'!$Q$46,'405'!$Q$48,'405'!$Q$50,'405'!$Q$52,'405'!$Q$55,'405'!$Q$57,'405'!$Q$59,'405'!$Q$61,'405'!$Q$64,'405'!$Q$68,'405'!$Q$70,'405'!$Q$79,'405'!$Q$81,'405'!$Q$83,'405'!$Q$85</definedName>
    <definedName name="OSRRefG20x" localSheetId="74">'406'!$Q$18</definedName>
    <definedName name="OSRRefG20x" localSheetId="75">'411'!$Q$18,'411'!$Q$28,'411'!$Q$39,'411'!$Q$41,'411'!$Q$44,'411'!$Q$46,'411'!$Q$48,'411'!$Q$50,'411'!$Q$52,'411'!$Q$57,'411'!$Q$60,'411'!$Q$62,'411'!$Q$64,'411'!$Q$66,'411'!$Q$68</definedName>
    <definedName name="OSRRefG20x" localSheetId="76">'412'!$Q$18,'412'!$Q$20,'412'!$Q$22</definedName>
    <definedName name="OSRRefG20x" localSheetId="77">'413'!$Q$18,'413'!$Q$20</definedName>
    <definedName name="OSRRefG20x" localSheetId="78">'414'!$Q$18,'414'!$Q$20</definedName>
    <definedName name="OSRRefG20x" localSheetId="79">'415'!$Q$25,'415'!$Q$35,'415'!$Q$46,'415'!$Q$48,'415'!$Q$50,'415'!$Q$52,'415'!$Q$55,'415'!$Q$57,'415'!$Q$59,'415'!$Q$61,'415'!$Q$63,'415'!$Q$65,'415'!$Q$68,'415'!$Q$73,'415'!$Q$75,'415'!$Q$81,'415'!$Q$84,'415'!$Q$86</definedName>
    <definedName name="OSRRefG20x" localSheetId="80">'418'!$Q$22,'418'!$Q$32,'418'!$Q$43,'418'!$Q$45,'418'!$Q$47,'418'!$Q$50,'418'!$Q$52,'418'!$Q$54,'418'!$Q$57,'418'!$Q$60,'418'!$Q$64,'418'!$Q$66,'418'!$Q$74,'418'!$Q$77,'418'!$Q$79,'418'!$Q$81</definedName>
    <definedName name="OSRRefG20x" localSheetId="81">'423'!$Q$18,'423'!$Q$27,'423'!$Q$38,'423'!$Q$40,'423'!$Q$42</definedName>
    <definedName name="OSRRefG20x" localSheetId="82">'424'!$Q$18,'424'!$Q$20</definedName>
    <definedName name="OSRRefG20x" localSheetId="84">'425'!$Q$20,'425'!$Q$22,'425'!$Q$24,'425'!$Q$26,'425'!$Q$28</definedName>
    <definedName name="OSRRefG20x" localSheetId="86">'430'!$Q$18,'430'!$Q$28,'430'!$Q$39,'430'!$Q$41,'430'!$Q$43,'430'!$Q$45,'430'!$Q$48,'430'!$Q$51,'430'!$Q$53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'444'!$Q$25,'444'!$Q$36,'444'!$Q$47,'444'!$Q$49,'444'!$Q$51,'444'!$Q$53,'444'!$Q$55,'444'!$Q$57,'444'!$Q$59,'444'!$Q$61,'444'!$Q$63,'444'!$Q$65,'444'!$Q$68,'444'!$Q$73,'444'!$Q$82,'444'!$Q$84</definedName>
    <definedName name="OSRRefG20x" localSheetId="89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'491'!$Q$26,'491'!$Q$36,'491'!$Q$47,'491'!$Q$49,'491'!$Q$51,'491'!$Q$53,'491'!$Q$56,'491'!$Q$58,'491'!$Q$60,'491'!$Q$63,'491'!$Q$65,'491'!$Q$67,'491'!$Q$69,'491'!$Q$74,'491'!$Q$76,'491'!$Q$82,'491'!$Q$84,'491'!$Q$94,'491'!$Q$97,'491'!$Q$99,'491'!$Q$101</definedName>
    <definedName name="OSRRefG20x" localSheetId="85">'492'!$Q$25,'492'!$Q$36,'492'!$Q$47,'492'!$Q$49,'492'!$Q$51,'492'!$Q$53,'492'!$Q$55,'492'!$Q$57,'492'!$Q$59,'492'!$Q$61,'492'!$Q$63,'492'!$Q$65,'492'!$Q$67,'492'!$Q$71,'492'!$Q$76,'492'!$Q$85,'492'!$Q$88,'492'!$Q$90</definedName>
    <definedName name="OSRRefG20x" localSheetId="91">'501'!$Q$19,'501'!$Q$30,'501'!$Q$41,'501'!$Q$43,'501'!$Q$45,'501'!$Q$47,'501'!$Q$50,'501'!$Q$52,'501'!$Q$54,'501'!$Q$56,'501'!$Q$59,'501'!$Q$61,'501'!$Q$65,'501'!$Q$67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2'!$Q$77,'Div 2'!$Q$83,'Div 2'!$Q$86,'Div 2'!$Q$88</definedName>
    <definedName name="OSRRefG20x" localSheetId="47">'Div 3'!$Q$56,'Div 3'!$Q$67,'Div 3'!$Q$78,'Div 3'!$Q$80,'Div 3'!$Q$82,'Div 3'!$Q$84,'Div 3'!$Q$87,'Div 3'!$Q$90,'Div 3'!$Q$92,'Div 3'!$Q$94,'Div 3'!$Q$96,'Div 3'!$Q$99,'Div 3'!$Q$101,'Div 3'!$Q$103,'Div 3'!$Q$105,'Div 3'!$Q$107,'Div 3'!$Q$109,'Div 3'!$Q$111,'Div 3'!$Q$116,'Div 3'!$Q$121,'Div 3'!$Q$126,'Div 3'!$Q$129,'Div 3'!$Q$137,'Div 3'!$Q$140,'Div 3'!$Q$142,'Div 3'!$Q$146</definedName>
    <definedName name="OSRRefG20x" localSheetId="70">'Div 4'!$Q$27,'Div 4'!$Q$38,'Div 4'!$Q$49,'Div 4'!$Q$51,'Div 4'!$Q$53,'Div 4'!$Q$55,'Div 4'!$Q$58,'Div 4'!$Q$60,'Div 4'!$Q$62,'Div 4'!$Q$64,'Div 4'!$Q$67,'Div 4'!$Q$69,'Div 4'!$Q$71,'Div 4'!$Q$73,'Div 4'!$Q$75,'Div 4'!$Q$80,'Div 4'!$Q$82,'Div 4'!$Q$88,'Div 4'!$Q$90,'Div 4'!$Q$101,'Div 4'!$Q$104,'Div 4'!$Q$106,'Div 4'!$Q$109</definedName>
    <definedName name="OSRRefG20x" localSheetId="90">'Div 5'!$Q$19,'Div 5'!$Q$30,'Div 5'!$Q$41,'Div 5'!$Q$43,'Div 5'!$Q$45,'Div 5'!$Q$47,'Div 5'!$Q$50,'Div 5'!$Q$52,'Div 5'!$Q$54,'Div 5'!$Q$56,'Div 5'!$Q$59,'Div 5'!$Q$61,'Div 5'!$Q$65,'Div 5'!$Q$67</definedName>
    <definedName name="OSRRefG20x" localSheetId="61">'Div 6'!$Q$33,'Div 6'!$Q$44,'Div 6'!$Q$55,'Div 6'!$Q$57,'Div 6'!$Q$59,'Div 6'!$Q$61,'Div 6'!$Q$63,'Div 6'!$Q$65,'Div 6'!$Q$67,'Div 6'!$Q$70</definedName>
    <definedName name="OSRRefG20x" localSheetId="2">Summary!$Q$64,Summary!$Q$75,Summary!$Q$86,Summary!$Q$88,Summary!$Q$90,Summary!$Q$92,Summary!$Q$95,Summary!$Q$98,Summary!$Q$100,Summary!$Q$102,Summary!$Q$104,Summary!$Q$107,Summary!$Q$110,Summary!$Q$112,Summary!$Q$114,Summary!$Q$116,Summary!$Q$118,Summary!$Q$120,Summary!$Q$122,Summary!$Q$127,Summary!$Q$132,Summary!$Q$138,Summary!$Q$141,Summary!$Q$152,Summary!$Q$155,Summary!$Q$157,Summary!$Q$161</definedName>
    <definedName name="_xlnm.Print_Area" localSheetId="38">'100'!$A$1:$Q$35</definedName>
    <definedName name="_xlnm.Print_Area" localSheetId="40">'200'!$A$1:$Q$42</definedName>
    <definedName name="_xlnm.Print_Area" localSheetId="41">'201'!$A$1:$Q$84</definedName>
    <definedName name="_xlnm.Print_Area" localSheetId="42">'202'!$A$1:$Q$78</definedName>
    <definedName name="_xlnm.Print_Area" localSheetId="43">'203'!$A$1:$Q$85</definedName>
    <definedName name="_xlnm.Print_Area" localSheetId="44">'204'!$A$1:$Q$75</definedName>
    <definedName name="_xlnm.Print_Area" localSheetId="45">'205'!$A$1:$Q$69</definedName>
    <definedName name="_xlnm.Print_Area" localSheetId="46">'206'!$A$1:$Q$64</definedName>
    <definedName name="_xlnm.Print_Area" localSheetId="48">'300'!$A$1:$Q$156</definedName>
    <definedName name="_xlnm.Print_Area" localSheetId="49">'300 &amp; 317'!$A$1:$Q$162</definedName>
    <definedName name="_xlnm.Print_Area" localSheetId="50">'301'!$A$1:$Q$110</definedName>
    <definedName name="_xlnm.Print_Area" localSheetId="52">'307'!$A$1:$Q$94</definedName>
    <definedName name="_xlnm.Print_Area" localSheetId="53">'308'!$A$1:$Q$97</definedName>
    <definedName name="_xlnm.Print_Area" localSheetId="64">'309'!$A$1:$Q$48</definedName>
    <definedName name="_xlnm.Print_Area" localSheetId="63">'310'!$A$1:$Q$102</definedName>
    <definedName name="_xlnm.Print_Area" localSheetId="71">'310 &amp; 491'!$A$1:$Q$121</definedName>
    <definedName name="_xlnm.Print_Area" localSheetId="54">'311'!$A$1:$Q$97</definedName>
    <definedName name="_xlnm.Print_Area" localSheetId="65">'313'!$A$1:$Q$39</definedName>
    <definedName name="_xlnm.Print_Area" localSheetId="57">'315'!$A$1:$Q$118</definedName>
    <definedName name="_xlnm.Print_Area" localSheetId="60">'316'!$A$1:$Q$84</definedName>
    <definedName name="_xlnm.Print_Area" localSheetId="62">'317'!$A$1:$Q$87</definedName>
    <definedName name="_xlnm.Print_Area" localSheetId="66">'321'!$A$1:$Q$83</definedName>
    <definedName name="_xlnm.Print_Area" localSheetId="67">'322'!$A$1:$Q$35</definedName>
    <definedName name="_xlnm.Print_Area" localSheetId="55">'324'!$A$1:$Q$36</definedName>
    <definedName name="_xlnm.Print_Area" localSheetId="68">'325'!$A$1:$Q$96</definedName>
    <definedName name="_xlnm.Print_Area" localSheetId="58">'326'!$A$1:$Q$100</definedName>
    <definedName name="_xlnm.Print_Area" localSheetId="69">'327'!$A$1:$Q$41</definedName>
    <definedName name="_xlnm.Print_Area" localSheetId="51">'330'!$A$1:$Q$94</definedName>
    <definedName name="_xlnm.Print_Area" localSheetId="56">'331'!$A$1:$Q$129</definedName>
    <definedName name="_xlnm.Print_Area" localSheetId="59">'332'!$A$1:$Q$84</definedName>
    <definedName name="_xlnm.Print_Area" localSheetId="73">'405'!$A$1:$Q$102</definedName>
    <definedName name="_xlnm.Print_Area" localSheetId="74">'406'!$A$1:$Q$35</definedName>
    <definedName name="_xlnm.Print_Area" localSheetId="75">'411'!$A$1:$Q$85</definedName>
    <definedName name="_xlnm.Print_Area" localSheetId="76">'412'!$A$1:$Q$39</definedName>
    <definedName name="_xlnm.Print_Area" localSheetId="77">'413'!$A$1:$Q$37</definedName>
    <definedName name="_xlnm.Print_Area" localSheetId="78">'414'!$A$1:$Q$37</definedName>
    <definedName name="_xlnm.Print_Area" localSheetId="79">'415'!$A$1:$Q$103</definedName>
    <definedName name="_xlnm.Print_Area" localSheetId="80">'418'!$A$1:$Q$98</definedName>
    <definedName name="_xlnm.Print_Area" localSheetId="81">'423'!$A$1:$Q$59</definedName>
    <definedName name="_xlnm.Print_Area" localSheetId="82">'424'!$A$1:$Q$37</definedName>
    <definedName name="_xlnm.Print_Area" localSheetId="84">'425'!$A$1:$Q$45</definedName>
    <definedName name="_xlnm.Print_Area" localSheetId="86">'430'!$A$1:$Q$70</definedName>
    <definedName name="_xlnm.Print_Area" localSheetId="87">'433'!$A$1:$Q$102</definedName>
    <definedName name="_xlnm.Print_Area" localSheetId="88">'444'!$A$1:$Q$101</definedName>
    <definedName name="_xlnm.Print_Area" localSheetId="89">'450'!$A$1:$Q$102</definedName>
    <definedName name="_xlnm.Print_Area" localSheetId="83">'455'!$A$1:$Q$33</definedName>
    <definedName name="_xlnm.Print_Area" localSheetId="72">'491'!$A$1:$Q$118</definedName>
    <definedName name="_xlnm.Print_Area" localSheetId="85">'492'!$A$1:$Q$108</definedName>
    <definedName name="_xlnm.Print_Area" localSheetId="91">'501'!$A$1:$Q$84</definedName>
    <definedName name="_xlnm.Print_Area" localSheetId="92">Dept!$A$1:$G$39</definedName>
    <definedName name="_xlnm.Print_Area" localSheetId="5">'Div 1'!$A$1:$Q$34</definedName>
    <definedName name="_xlnm.Print_Area" localSheetId="39">'Div 2'!$A$1:$Q$105</definedName>
    <definedName name="_xlnm.Print_Area" localSheetId="47">'Div 3'!$A$1:$Q$163</definedName>
    <definedName name="_xlnm.Print_Area" localSheetId="70">'Div 4'!$A$1:$Q$126</definedName>
    <definedName name="_xlnm.Print_Area" localSheetId="90">'Div 5'!$A$1:$Q$84</definedName>
    <definedName name="_xlnm.Print_Area" localSheetId="61">'Div 6'!$A$1:$Q$87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3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4">'OSR_Summary (...56e5d78f_5JEYZH'!$A$1:$G$39</definedName>
    <definedName name="_xlnm.Print_Area" localSheetId="3">OSR_Summary_18VAVWG!$A$1:$G$39</definedName>
    <definedName name="_xlnm.Print_Area" localSheetId="2">Summary!$A$1:$Q$180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5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'423'!$A:$C,'423'!$1:$8</definedName>
    <definedName name="_xlnm.Print_Titles" localSheetId="82">'424'!$A:$C,'424'!$1:$8</definedName>
    <definedName name="_xlnm.Print_Titles" localSheetId="84">'425'!$A:$C,'425'!$1:$8</definedName>
    <definedName name="_xlnm.Print_Titles" localSheetId="86">'430'!$A:$C,'430'!$1:$8</definedName>
    <definedName name="_xlnm.Print_Titles" localSheetId="87">'433'!$A:$C,'433'!$1:$8</definedName>
    <definedName name="_xlnm.Print_Titles" localSheetId="88">'444'!$A:$C,'444'!$1:$8</definedName>
    <definedName name="_xlnm.Print_Titles" localSheetId="89">'450'!$A:$C,'450'!$1:$8</definedName>
    <definedName name="_xlnm.Print_Titles" localSheetId="83">'455'!$A:$C,'455'!$1:$8</definedName>
    <definedName name="_xlnm.Print_Titles" localSheetId="72">'491'!$A:$C,'491'!$1:$8</definedName>
    <definedName name="_xlnm.Print_Titles" localSheetId="85">'492'!$A:$C,'492'!$1:$8</definedName>
    <definedName name="_xlnm.Print_Titles" localSheetId="91">'501'!$A:$C,'501'!$1:$8</definedName>
    <definedName name="_xlnm.Print_Titles" localSheetId="92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0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3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4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5" l="1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B39" i="93"/>
  <c r="B38" i="93"/>
  <c r="G34" i="93"/>
  <c r="E34" i="93"/>
  <c r="D34" i="93"/>
  <c r="G33" i="93"/>
  <c r="E33" i="93"/>
  <c r="D33" i="93"/>
  <c r="G28" i="93"/>
  <c r="E28" i="93"/>
  <c r="D28" i="93"/>
  <c r="G23" i="93"/>
  <c r="E23" i="93"/>
  <c r="D23" i="93"/>
  <c r="G21" i="93"/>
  <c r="E21" i="93"/>
  <c r="D21" i="93"/>
  <c r="B21" i="93"/>
  <c r="G20" i="93"/>
  <c r="E20" i="93"/>
  <c r="D20" i="93"/>
  <c r="B20" i="93"/>
  <c r="G19" i="93"/>
  <c r="E19" i="93"/>
  <c r="D19" i="93"/>
  <c r="G14" i="93"/>
  <c r="E14" i="93"/>
  <c r="D14" i="93"/>
  <c r="B14" i="93"/>
  <c r="G13" i="93"/>
  <c r="E13" i="93"/>
  <c r="D13" i="93"/>
  <c r="G11" i="93"/>
  <c r="E11" i="93"/>
  <c r="D11" i="93"/>
  <c r="B11" i="93"/>
  <c r="G10" i="93"/>
  <c r="E10" i="93"/>
  <c r="D10" i="93"/>
  <c r="E8" i="93"/>
  <c r="D8" i="93"/>
  <c r="B5" i="93"/>
  <c r="Q75" i="92"/>
  <c r="I70" i="92"/>
  <c r="H70" i="92"/>
  <c r="G70" i="92"/>
  <c r="F70" i="92"/>
  <c r="E70" i="92"/>
  <c r="D70" i="92"/>
  <c r="Q70" i="92" s="1"/>
  <c r="Q68" i="92"/>
  <c r="B68" i="92"/>
  <c r="O67" i="92"/>
  <c r="N67" i="92"/>
  <c r="M67" i="92"/>
  <c r="L67" i="92"/>
  <c r="K67" i="92"/>
  <c r="J67" i="92"/>
  <c r="I67" i="92"/>
  <c r="H67" i="92"/>
  <c r="Q67" i="92" s="1"/>
  <c r="G67" i="92"/>
  <c r="F67" i="92"/>
  <c r="E67" i="92"/>
  <c r="D67" i="92"/>
  <c r="B67" i="92"/>
  <c r="Q66" i="92"/>
  <c r="B66" i="92"/>
  <c r="O65" i="92"/>
  <c r="N65" i="92"/>
  <c r="M65" i="92"/>
  <c r="L65" i="92"/>
  <c r="K65" i="92"/>
  <c r="J65" i="92"/>
  <c r="I65" i="92"/>
  <c r="H65" i="92"/>
  <c r="Q65" i="92" s="1"/>
  <c r="G65" i="92"/>
  <c r="F65" i="92"/>
  <c r="E65" i="92"/>
  <c r="D65" i="92"/>
  <c r="B65" i="92"/>
  <c r="Q64" i="92"/>
  <c r="B64" i="92"/>
  <c r="Q63" i="92"/>
  <c r="B63" i="92"/>
  <c r="Q62" i="92"/>
  <c r="B62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Q61" i="92" s="1"/>
  <c r="B61" i="92"/>
  <c r="Q60" i="92"/>
  <c r="B60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Q59" i="92" s="1"/>
  <c r="B59" i="92"/>
  <c r="Q58" i="92"/>
  <c r="B58" i="92"/>
  <c r="Q57" i="92"/>
  <c r="B57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B56" i="92"/>
  <c r="Q55" i="92"/>
  <c r="B55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Q54" i="92" s="1"/>
  <c r="B54" i="92"/>
  <c r="Q53" i="92"/>
  <c r="B53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B52" i="92"/>
  <c r="Q51" i="92"/>
  <c r="B51" i="92"/>
  <c r="O50" i="92"/>
  <c r="N50" i="92"/>
  <c r="M50" i="92"/>
  <c r="L50" i="92"/>
  <c r="K50" i="92"/>
  <c r="J50" i="92"/>
  <c r="I50" i="92"/>
  <c r="I18" i="92" s="1"/>
  <c r="H50" i="92"/>
  <c r="G50" i="92"/>
  <c r="F50" i="92"/>
  <c r="E50" i="92"/>
  <c r="D50" i="92"/>
  <c r="Q50" i="92" s="1"/>
  <c r="B50" i="92"/>
  <c r="Q49" i="92"/>
  <c r="B49" i="92"/>
  <c r="Q48" i="92"/>
  <c r="B48" i="92"/>
  <c r="O47" i="92"/>
  <c r="N47" i="92"/>
  <c r="M47" i="92"/>
  <c r="L47" i="92"/>
  <c r="K47" i="92"/>
  <c r="J47" i="92"/>
  <c r="I47" i="92"/>
  <c r="H47" i="92"/>
  <c r="Q47" i="92" s="1"/>
  <c r="G47" i="92"/>
  <c r="F47" i="92"/>
  <c r="E47" i="92"/>
  <c r="D47" i="92"/>
  <c r="B47" i="92"/>
  <c r="Q46" i="92"/>
  <c r="B46" i="92"/>
  <c r="O45" i="92"/>
  <c r="N45" i="92"/>
  <c r="M45" i="92"/>
  <c r="L45" i="92"/>
  <c r="K45" i="92"/>
  <c r="J45" i="92"/>
  <c r="I45" i="92"/>
  <c r="H45" i="92"/>
  <c r="Q45" i="92" s="1"/>
  <c r="G45" i="92"/>
  <c r="F45" i="92"/>
  <c r="E45" i="92"/>
  <c r="D45" i="92"/>
  <c r="B45" i="92"/>
  <c r="Q44" i="92"/>
  <c r="B44" i="92"/>
  <c r="O43" i="92"/>
  <c r="N43" i="92"/>
  <c r="M43" i="92"/>
  <c r="L43" i="92"/>
  <c r="K43" i="92"/>
  <c r="J43" i="92"/>
  <c r="I43" i="92"/>
  <c r="H43" i="92"/>
  <c r="Q43" i="92" s="1"/>
  <c r="G43" i="92"/>
  <c r="F43" i="92"/>
  <c r="E43" i="92"/>
  <c r="D43" i="92"/>
  <c r="B43" i="92"/>
  <c r="Q42" i="92"/>
  <c r="B42" i="92"/>
  <c r="O41" i="92"/>
  <c r="N41" i="92"/>
  <c r="N18" i="92" s="1"/>
  <c r="M41" i="92"/>
  <c r="L41" i="92"/>
  <c r="K41" i="92"/>
  <c r="J41" i="92"/>
  <c r="I41" i="92"/>
  <c r="H41" i="92"/>
  <c r="H18" i="92" s="1"/>
  <c r="G41" i="92"/>
  <c r="F41" i="92"/>
  <c r="F18" i="92" s="1"/>
  <c r="E41" i="92"/>
  <c r="D41" i="92"/>
  <c r="B41" i="92"/>
  <c r="Q40" i="92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O30" i="92"/>
  <c r="N30" i="92"/>
  <c r="M30" i="92"/>
  <c r="L30" i="92"/>
  <c r="K30" i="92"/>
  <c r="J30" i="92"/>
  <c r="I30" i="92"/>
  <c r="H30" i="92"/>
  <c r="G30" i="92"/>
  <c r="F30" i="92"/>
  <c r="E30" i="92"/>
  <c r="Q30" i="92" s="1"/>
  <c r="D30" i="92"/>
  <c r="B30" i="92"/>
  <c r="Q29" i="92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Q20" i="92"/>
  <c r="B20" i="92"/>
  <c r="O19" i="92"/>
  <c r="O18" i="92" s="1"/>
  <c r="N19" i="92"/>
  <c r="M19" i="92"/>
  <c r="L19" i="92"/>
  <c r="K19" i="92"/>
  <c r="K18" i="92" s="1"/>
  <c r="J19" i="92"/>
  <c r="I19" i="92"/>
  <c r="H19" i="92"/>
  <c r="G19" i="92"/>
  <c r="G18" i="92" s="1"/>
  <c r="F19" i="92"/>
  <c r="E19" i="92"/>
  <c r="D19" i="92"/>
  <c r="B19" i="92"/>
  <c r="M18" i="92"/>
  <c r="J18" i="92"/>
  <c r="J72" i="92" s="1"/>
  <c r="E18" i="92"/>
  <c r="O16" i="92"/>
  <c r="J16" i="92"/>
  <c r="O15" i="92"/>
  <c r="L15" i="92"/>
  <c r="K15" i="92"/>
  <c r="K16" i="92" s="1"/>
  <c r="J15" i="92"/>
  <c r="D15" i="92"/>
  <c r="Q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I11" i="92"/>
  <c r="H11" i="92"/>
  <c r="H10" i="92" s="1"/>
  <c r="H15" i="92" s="1"/>
  <c r="G11" i="92"/>
  <c r="G10" i="92" s="1"/>
  <c r="G15" i="92" s="1"/>
  <c r="F11" i="92"/>
  <c r="E11" i="92"/>
  <c r="D11" i="92"/>
  <c r="B11" i="92"/>
  <c r="O10" i="92"/>
  <c r="N10" i="92"/>
  <c r="N15" i="92" s="1"/>
  <c r="M10" i="92"/>
  <c r="M15" i="92" s="1"/>
  <c r="L10" i="92"/>
  <c r="K10" i="92"/>
  <c r="J10" i="92"/>
  <c r="I10" i="92"/>
  <c r="F10" i="92"/>
  <c r="F15" i="92" s="1"/>
  <c r="E10" i="92"/>
  <c r="E15" i="92" s="1"/>
  <c r="D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24" i="91"/>
  <c r="J21" i="91"/>
  <c r="I19" i="91"/>
  <c r="H19" i="91"/>
  <c r="G19" i="91"/>
  <c r="F19" i="91"/>
  <c r="E19" i="91"/>
  <c r="D19" i="91"/>
  <c r="Q17" i="91"/>
  <c r="O17" i="91"/>
  <c r="N17" i="91"/>
  <c r="M17" i="91"/>
  <c r="L17" i="91"/>
  <c r="K17" i="91"/>
  <c r="J17" i="91"/>
  <c r="I17" i="91"/>
  <c r="H17" i="91"/>
  <c r="G17" i="91"/>
  <c r="F17" i="91"/>
  <c r="E17" i="91"/>
  <c r="D17" i="91"/>
  <c r="N15" i="91"/>
  <c r="K15" i="91"/>
  <c r="F15" i="91"/>
  <c r="Q14" i="91"/>
  <c r="O14" i="91"/>
  <c r="O21" i="91" s="1"/>
  <c r="O22" i="91" s="1"/>
  <c r="N14" i="91"/>
  <c r="N21" i="91" s="1"/>
  <c r="K14" i="91"/>
  <c r="K21" i="91" s="1"/>
  <c r="H14" i="91"/>
  <c r="G14" i="91"/>
  <c r="G21" i="91" s="1"/>
  <c r="G22" i="91" s="1"/>
  <c r="F14" i="91"/>
  <c r="Q12" i="91"/>
  <c r="O12" i="91"/>
  <c r="N12" i="91"/>
  <c r="M12" i="91"/>
  <c r="L12" i="91"/>
  <c r="L14" i="91" s="1"/>
  <c r="K12" i="91"/>
  <c r="J12" i="91"/>
  <c r="I12" i="91"/>
  <c r="H12" i="91"/>
  <c r="G12" i="91"/>
  <c r="F12" i="91"/>
  <c r="E12" i="91"/>
  <c r="D12" i="91"/>
  <c r="D14" i="91" s="1"/>
  <c r="Q10" i="91"/>
  <c r="O10" i="91"/>
  <c r="N10" i="91"/>
  <c r="M10" i="91"/>
  <c r="L10" i="91"/>
  <c r="K10" i="91"/>
  <c r="J10" i="91"/>
  <c r="J14" i="91" s="1"/>
  <c r="J15" i="91" s="1"/>
  <c r="I10" i="91"/>
  <c r="I14" i="91" s="1"/>
  <c r="H10" i="91"/>
  <c r="G10" i="91"/>
  <c r="F10" i="91"/>
  <c r="E10" i="91"/>
  <c r="D10" i="9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3" i="90"/>
  <c r="I88" i="90"/>
  <c r="H88" i="90"/>
  <c r="G88" i="90"/>
  <c r="F88" i="90"/>
  <c r="E88" i="90"/>
  <c r="D88" i="90"/>
  <c r="Q88" i="90" s="1"/>
  <c r="Q86" i="90"/>
  <c r="B86" i="90"/>
  <c r="O85" i="90"/>
  <c r="N85" i="90"/>
  <c r="M85" i="90"/>
  <c r="L85" i="90"/>
  <c r="K85" i="90"/>
  <c r="J85" i="90"/>
  <c r="I85" i="90"/>
  <c r="H85" i="90"/>
  <c r="G85" i="90"/>
  <c r="F85" i="90"/>
  <c r="E85" i="90"/>
  <c r="D85" i="90"/>
  <c r="Q85" i="90" s="1"/>
  <c r="B85" i="90"/>
  <c r="Q84" i="90"/>
  <c r="B84" i="90"/>
  <c r="O83" i="90"/>
  <c r="N83" i="90"/>
  <c r="M83" i="90"/>
  <c r="L83" i="90"/>
  <c r="K83" i="90"/>
  <c r="J83" i="90"/>
  <c r="I83" i="90"/>
  <c r="H83" i="90"/>
  <c r="G83" i="90"/>
  <c r="F83" i="90"/>
  <c r="E83" i="90"/>
  <c r="D83" i="90"/>
  <c r="Q83" i="90" s="1"/>
  <c r="B83" i="90"/>
  <c r="Q82" i="90"/>
  <c r="B82" i="90"/>
  <c r="O81" i="90"/>
  <c r="N81" i="90"/>
  <c r="M81" i="90"/>
  <c r="L81" i="90"/>
  <c r="K81" i="90"/>
  <c r="J81" i="90"/>
  <c r="I81" i="90"/>
  <c r="H81" i="90"/>
  <c r="G81" i="90"/>
  <c r="F81" i="90"/>
  <c r="E81" i="90"/>
  <c r="D81" i="90"/>
  <c r="Q81" i="90" s="1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Q73" i="90" s="1"/>
  <c r="G73" i="90"/>
  <c r="F73" i="90"/>
  <c r="E73" i="90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J68" i="90"/>
  <c r="I68" i="90"/>
  <c r="I24" i="90" s="1"/>
  <c r="H68" i="90"/>
  <c r="G68" i="90"/>
  <c r="F68" i="90"/>
  <c r="E68" i="90"/>
  <c r="D68" i="90"/>
  <c r="Q68" i="90" s="1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Q65" i="90" s="1"/>
  <c r="G65" i="90"/>
  <c r="F65" i="90"/>
  <c r="E65" i="90"/>
  <c r="D65" i="90"/>
  <c r="B65" i="90"/>
  <c r="Q64" i="90"/>
  <c r="B64" i="90"/>
  <c r="O63" i="90"/>
  <c r="N63" i="90"/>
  <c r="M63" i="90"/>
  <c r="L63" i="90"/>
  <c r="K63" i="90"/>
  <c r="J63" i="90"/>
  <c r="I63" i="90"/>
  <c r="H63" i="90"/>
  <c r="Q63" i="90" s="1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Q61" i="90" s="1"/>
  <c r="G61" i="90"/>
  <c r="F61" i="90"/>
  <c r="E61" i="90"/>
  <c r="D61" i="90"/>
  <c r="B61" i="90"/>
  <c r="Q60" i="90"/>
  <c r="B60" i="90"/>
  <c r="O59" i="90"/>
  <c r="N59" i="90"/>
  <c r="M59" i="90"/>
  <c r="L59" i="90"/>
  <c r="K59" i="90"/>
  <c r="J59" i="90"/>
  <c r="I59" i="90"/>
  <c r="H59" i="90"/>
  <c r="Q59" i="90" s="1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Q57" i="90" s="1"/>
  <c r="G57" i="90"/>
  <c r="F57" i="90"/>
  <c r="E57" i="90"/>
  <c r="D57" i="90"/>
  <c r="B57" i="90"/>
  <c r="Q56" i="90"/>
  <c r="B56" i="90"/>
  <c r="O55" i="90"/>
  <c r="N55" i="90"/>
  <c r="M55" i="90"/>
  <c r="L55" i="90"/>
  <c r="K55" i="90"/>
  <c r="J55" i="90"/>
  <c r="I55" i="90"/>
  <c r="H55" i="90"/>
  <c r="Q55" i="90" s="1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Q53" i="90" s="1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Q51" i="90" s="1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Q49" i="90" s="1"/>
  <c r="G49" i="90"/>
  <c r="F49" i="90"/>
  <c r="E49" i="90"/>
  <c r="D49" i="90"/>
  <c r="B49" i="90"/>
  <c r="Q48" i="90"/>
  <c r="B48" i="90"/>
  <c r="O47" i="90"/>
  <c r="N47" i="90"/>
  <c r="N24" i="90" s="1"/>
  <c r="M47" i="90"/>
  <c r="L47" i="90"/>
  <c r="K47" i="90"/>
  <c r="J47" i="90"/>
  <c r="I47" i="90"/>
  <c r="H47" i="90"/>
  <c r="H24" i="90" s="1"/>
  <c r="G47" i="90"/>
  <c r="F47" i="90"/>
  <c r="F24" i="90" s="1"/>
  <c r="E47" i="90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M36" i="90"/>
  <c r="L36" i="90"/>
  <c r="K36" i="90"/>
  <c r="J36" i="90"/>
  <c r="I36" i="90"/>
  <c r="H36" i="90"/>
  <c r="G36" i="90"/>
  <c r="F36" i="90"/>
  <c r="E36" i="90"/>
  <c r="Q36" i="90" s="1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O24" i="90" s="1"/>
  <c r="N25" i="90"/>
  <c r="M25" i="90"/>
  <c r="L25" i="90"/>
  <c r="K25" i="90"/>
  <c r="K24" i="90" s="1"/>
  <c r="J25" i="90"/>
  <c r="I25" i="90"/>
  <c r="H25" i="90"/>
  <c r="G25" i="90"/>
  <c r="G24" i="90" s="1"/>
  <c r="F25" i="90"/>
  <c r="E25" i="90"/>
  <c r="D25" i="90"/>
  <c r="B25" i="90"/>
  <c r="M24" i="90"/>
  <c r="J24" i="90"/>
  <c r="E24" i="90"/>
  <c r="L21" i="90"/>
  <c r="Q19" i="90"/>
  <c r="B19" i="90"/>
  <c r="Q18" i="90"/>
  <c r="B18" i="90"/>
  <c r="Q17" i="90"/>
  <c r="Q16" i="90" s="1"/>
  <c r="B17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I14" i="90"/>
  <c r="H14" i="90"/>
  <c r="G14" i="90"/>
  <c r="F14" i="90"/>
  <c r="E14" i="90"/>
  <c r="D14" i="90"/>
  <c r="B14" i="90"/>
  <c r="I13" i="90"/>
  <c r="H13" i="90"/>
  <c r="G13" i="90"/>
  <c r="F13" i="90"/>
  <c r="E13" i="90"/>
  <c r="D13" i="90"/>
  <c r="Q13" i="90" s="1"/>
  <c r="B13" i="90"/>
  <c r="I12" i="90"/>
  <c r="H12" i="90"/>
  <c r="G12" i="90"/>
  <c r="F12" i="90"/>
  <c r="E12" i="90"/>
  <c r="D12" i="90"/>
  <c r="B12" i="90"/>
  <c r="I11" i="90"/>
  <c r="H11" i="90"/>
  <c r="G11" i="90"/>
  <c r="F11" i="90"/>
  <c r="E11" i="90"/>
  <c r="E10" i="90" s="1"/>
  <c r="E21" i="90" s="1"/>
  <c r="D11" i="90"/>
  <c r="Q11" i="90" s="1"/>
  <c r="B11" i="90"/>
  <c r="O10" i="90"/>
  <c r="O21" i="90" s="1"/>
  <c r="O90" i="90" s="1"/>
  <c r="N10" i="90"/>
  <c r="N21" i="90" s="1"/>
  <c r="N22" i="90" s="1"/>
  <c r="M10" i="90"/>
  <c r="M21" i="90" s="1"/>
  <c r="L10" i="90"/>
  <c r="K10" i="90"/>
  <c r="K21" i="90" s="1"/>
  <c r="J10" i="90"/>
  <c r="J21" i="90" s="1"/>
  <c r="H10" i="90"/>
  <c r="H21" i="90" s="1"/>
  <c r="G10" i="90"/>
  <c r="D10" i="90"/>
  <c r="D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92" i="89"/>
  <c r="I87" i="89"/>
  <c r="H87" i="89"/>
  <c r="G87" i="89"/>
  <c r="Q87" i="89" s="1"/>
  <c r="F87" i="89"/>
  <c r="E87" i="89"/>
  <c r="D87" i="89"/>
  <c r="Q85" i="89"/>
  <c r="B85" i="89"/>
  <c r="O84" i="89"/>
  <c r="N84" i="89"/>
  <c r="M84" i="89"/>
  <c r="L84" i="89"/>
  <c r="K84" i="89"/>
  <c r="J84" i="89"/>
  <c r="I84" i="89"/>
  <c r="H84" i="89"/>
  <c r="G84" i="89"/>
  <c r="F84" i="89"/>
  <c r="E84" i="89"/>
  <c r="D84" i="89"/>
  <c r="Q84" i="89" s="1"/>
  <c r="B84" i="89"/>
  <c r="Q83" i="89"/>
  <c r="B83" i="89"/>
  <c r="O82" i="89"/>
  <c r="N82" i="89"/>
  <c r="M82" i="89"/>
  <c r="L82" i="89"/>
  <c r="K82" i="89"/>
  <c r="J82" i="89"/>
  <c r="I82" i="89"/>
  <c r="I24" i="89" s="1"/>
  <c r="H82" i="89"/>
  <c r="G82" i="89"/>
  <c r="F82" i="89"/>
  <c r="E82" i="89"/>
  <c r="D82" i="89"/>
  <c r="B82" i="89"/>
  <c r="Q81" i="89"/>
  <c r="B81" i="89"/>
  <c r="Q80" i="89"/>
  <c r="B80" i="89"/>
  <c r="Q79" i="89"/>
  <c r="B79" i="89"/>
  <c r="Q78" i="89"/>
  <c r="B78" i="89"/>
  <c r="Q77" i="89"/>
  <c r="B77" i="89"/>
  <c r="Q76" i="89"/>
  <c r="B76" i="89"/>
  <c r="Q75" i="89"/>
  <c r="B75" i="89"/>
  <c r="Q74" i="89"/>
  <c r="B74" i="89"/>
  <c r="O73" i="89"/>
  <c r="N73" i="89"/>
  <c r="M73" i="89"/>
  <c r="L73" i="89"/>
  <c r="K73" i="89"/>
  <c r="J73" i="89"/>
  <c r="I73" i="89"/>
  <c r="H73" i="89"/>
  <c r="G73" i="89"/>
  <c r="F73" i="89"/>
  <c r="E73" i="89"/>
  <c r="D73" i="89"/>
  <c r="Q73" i="89" s="1"/>
  <c r="B73" i="89"/>
  <c r="Q72" i="89"/>
  <c r="B72" i="89"/>
  <c r="Q71" i="89"/>
  <c r="B71" i="89"/>
  <c r="Q70" i="89"/>
  <c r="B70" i="89"/>
  <c r="Q69" i="89"/>
  <c r="B69" i="89"/>
  <c r="O68" i="89"/>
  <c r="N68" i="89"/>
  <c r="M68" i="89"/>
  <c r="M24" i="89" s="1"/>
  <c r="L68" i="89"/>
  <c r="K68" i="89"/>
  <c r="J68" i="89"/>
  <c r="I68" i="89"/>
  <c r="H68" i="89"/>
  <c r="G68" i="89"/>
  <c r="F68" i="89"/>
  <c r="E68" i="89"/>
  <c r="Q68" i="89" s="1"/>
  <c r="D68" i="89"/>
  <c r="B68" i="89"/>
  <c r="Q67" i="89"/>
  <c r="B67" i="89"/>
  <c r="Q66" i="89"/>
  <c r="B66" i="89"/>
  <c r="O65" i="89"/>
  <c r="N65" i="89"/>
  <c r="M65" i="89"/>
  <c r="L65" i="89"/>
  <c r="K65" i="89"/>
  <c r="J65" i="89"/>
  <c r="I65" i="89"/>
  <c r="H65" i="89"/>
  <c r="G65" i="89"/>
  <c r="F65" i="89"/>
  <c r="E65" i="89"/>
  <c r="D65" i="89"/>
  <c r="Q65" i="89" s="1"/>
  <c r="B65" i="89"/>
  <c r="Q64" i="89"/>
  <c r="B64" i="89"/>
  <c r="O63" i="89"/>
  <c r="N63" i="89"/>
  <c r="M63" i="89"/>
  <c r="L63" i="89"/>
  <c r="K63" i="89"/>
  <c r="J63" i="89"/>
  <c r="I63" i="89"/>
  <c r="H63" i="89"/>
  <c r="G63" i="89"/>
  <c r="F63" i="89"/>
  <c r="E63" i="89"/>
  <c r="D63" i="89"/>
  <c r="B63" i="89"/>
  <c r="Q62" i="89"/>
  <c r="B62" i="89"/>
  <c r="O61" i="89"/>
  <c r="N61" i="89"/>
  <c r="M61" i="89"/>
  <c r="L61" i="89"/>
  <c r="K61" i="89"/>
  <c r="J61" i="89"/>
  <c r="I61" i="89"/>
  <c r="H61" i="89"/>
  <c r="G61" i="89"/>
  <c r="F61" i="89"/>
  <c r="E61" i="89"/>
  <c r="D61" i="89"/>
  <c r="Q61" i="89" s="1"/>
  <c r="B61" i="89"/>
  <c r="Q60" i="89"/>
  <c r="B60" i="89"/>
  <c r="O59" i="89"/>
  <c r="N59" i="89"/>
  <c r="M59" i="89"/>
  <c r="L59" i="89"/>
  <c r="K59" i="89"/>
  <c r="J59" i="89"/>
  <c r="I59" i="89"/>
  <c r="H59" i="89"/>
  <c r="G59" i="89"/>
  <c r="F59" i="89"/>
  <c r="E59" i="89"/>
  <c r="D59" i="89"/>
  <c r="Q59" i="89" s="1"/>
  <c r="B59" i="89"/>
  <c r="Q58" i="89"/>
  <c r="B58" i="89"/>
  <c r="O57" i="89"/>
  <c r="N57" i="89"/>
  <c r="M57" i="89"/>
  <c r="L57" i="89"/>
  <c r="K57" i="89"/>
  <c r="J57" i="89"/>
  <c r="I57" i="89"/>
  <c r="H57" i="89"/>
  <c r="G57" i="89"/>
  <c r="F57" i="89"/>
  <c r="E57" i="89"/>
  <c r="D57" i="89"/>
  <c r="Q57" i="89" s="1"/>
  <c r="B57" i="89"/>
  <c r="Q56" i="89"/>
  <c r="B56" i="89"/>
  <c r="O55" i="89"/>
  <c r="N55" i="89"/>
  <c r="M55" i="89"/>
  <c r="L55" i="89"/>
  <c r="K55" i="89"/>
  <c r="J55" i="89"/>
  <c r="I55" i="89"/>
  <c r="H55" i="89"/>
  <c r="G55" i="89"/>
  <c r="F55" i="89"/>
  <c r="E55" i="89"/>
  <c r="D55" i="89"/>
  <c r="B55" i="89"/>
  <c r="Q54" i="89"/>
  <c r="B54" i="89"/>
  <c r="O53" i="89"/>
  <c r="N53" i="89"/>
  <c r="M53" i="89"/>
  <c r="L53" i="89"/>
  <c r="K53" i="89"/>
  <c r="J53" i="89"/>
  <c r="I53" i="89"/>
  <c r="H53" i="89"/>
  <c r="G53" i="89"/>
  <c r="F53" i="89"/>
  <c r="E53" i="89"/>
  <c r="D53" i="89"/>
  <c r="Q53" i="89" s="1"/>
  <c r="B53" i="89"/>
  <c r="Q52" i="89"/>
  <c r="B52" i="89"/>
  <c r="O51" i="89"/>
  <c r="N51" i="89"/>
  <c r="M51" i="89"/>
  <c r="L51" i="89"/>
  <c r="K51" i="89"/>
  <c r="J51" i="89"/>
  <c r="I51" i="89"/>
  <c r="H51" i="89"/>
  <c r="G51" i="89"/>
  <c r="F51" i="89"/>
  <c r="E51" i="89"/>
  <c r="D51" i="89"/>
  <c r="B51" i="89"/>
  <c r="Q50" i="89"/>
  <c r="B50" i="89"/>
  <c r="O49" i="89"/>
  <c r="N49" i="89"/>
  <c r="M49" i="89"/>
  <c r="L49" i="89"/>
  <c r="K49" i="89"/>
  <c r="J49" i="89"/>
  <c r="I49" i="89"/>
  <c r="H49" i="89"/>
  <c r="G49" i="89"/>
  <c r="F49" i="89"/>
  <c r="E49" i="89"/>
  <c r="D49" i="89"/>
  <c r="Q49" i="89" s="1"/>
  <c r="B49" i="89"/>
  <c r="Q48" i="89"/>
  <c r="B48" i="89"/>
  <c r="O47" i="89"/>
  <c r="N47" i="89"/>
  <c r="M47" i="89"/>
  <c r="L47" i="89"/>
  <c r="K47" i="89"/>
  <c r="J47" i="89"/>
  <c r="I47" i="89"/>
  <c r="H47" i="89"/>
  <c r="G47" i="89"/>
  <c r="F47" i="89"/>
  <c r="E47" i="89"/>
  <c r="D47" i="89"/>
  <c r="B47" i="89"/>
  <c r="Q46" i="89"/>
  <c r="B46" i="89"/>
  <c r="Q45" i="89"/>
  <c r="B45" i="89"/>
  <c r="Q44" i="89"/>
  <c r="B44" i="89"/>
  <c r="Q43" i="89"/>
  <c r="B43" i="89"/>
  <c r="Q42" i="89"/>
  <c r="B42" i="89"/>
  <c r="Q41" i="89"/>
  <c r="B41" i="89"/>
  <c r="Q40" i="89"/>
  <c r="B40" i="89"/>
  <c r="Q39" i="89"/>
  <c r="B39" i="89"/>
  <c r="Q38" i="89"/>
  <c r="B38" i="89"/>
  <c r="Q37" i="89"/>
  <c r="B37" i="89"/>
  <c r="O36" i="89"/>
  <c r="N36" i="89"/>
  <c r="M36" i="89"/>
  <c r="L36" i="89"/>
  <c r="L24" i="89" s="1"/>
  <c r="K36" i="89"/>
  <c r="J36" i="89"/>
  <c r="I36" i="89"/>
  <c r="H36" i="89"/>
  <c r="G36" i="89"/>
  <c r="F36" i="89"/>
  <c r="E36" i="89"/>
  <c r="D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Q29" i="89"/>
  <c r="B29" i="89"/>
  <c r="Q28" i="89"/>
  <c r="B28" i="89"/>
  <c r="Q27" i="89"/>
  <c r="B27" i="89"/>
  <c r="Q26" i="89"/>
  <c r="B26" i="89"/>
  <c r="O25" i="89"/>
  <c r="N25" i="89"/>
  <c r="N24" i="89" s="1"/>
  <c r="M25" i="89"/>
  <c r="L25" i="89"/>
  <c r="K25" i="89"/>
  <c r="K24" i="89" s="1"/>
  <c r="J25" i="89"/>
  <c r="I25" i="89"/>
  <c r="H25" i="89"/>
  <c r="H24" i="89" s="1"/>
  <c r="G25" i="89"/>
  <c r="F25" i="89"/>
  <c r="F24" i="89" s="1"/>
  <c r="E25" i="89"/>
  <c r="D25" i="89"/>
  <c r="B25" i="89"/>
  <c r="K21" i="89"/>
  <c r="K22" i="89" s="1"/>
  <c r="Q19" i="89"/>
  <c r="B19" i="89"/>
  <c r="Q18" i="89"/>
  <c r="B18" i="89"/>
  <c r="Q17" i="89"/>
  <c r="B17" i="89"/>
  <c r="O16" i="89"/>
  <c r="N16" i="89"/>
  <c r="N21" i="89" s="1"/>
  <c r="M16" i="89"/>
  <c r="L16" i="89"/>
  <c r="K16" i="89"/>
  <c r="J16" i="89"/>
  <c r="I16" i="89"/>
  <c r="H16" i="89"/>
  <c r="G16" i="89"/>
  <c r="F16" i="89"/>
  <c r="E16" i="89"/>
  <c r="D16" i="89"/>
  <c r="I14" i="89"/>
  <c r="H14" i="89"/>
  <c r="G14" i="89"/>
  <c r="F14" i="89"/>
  <c r="E14" i="89"/>
  <c r="D14" i="89"/>
  <c r="Q14" i="89" s="1"/>
  <c r="B14" i="89"/>
  <c r="I13" i="89"/>
  <c r="H13" i="89"/>
  <c r="G13" i="89"/>
  <c r="F13" i="89"/>
  <c r="E13" i="89"/>
  <c r="D13" i="89"/>
  <c r="B13" i="89"/>
  <c r="I12" i="89"/>
  <c r="H12" i="89"/>
  <c r="G12" i="89"/>
  <c r="F12" i="89"/>
  <c r="E12" i="89"/>
  <c r="D12" i="89"/>
  <c r="B12" i="89"/>
  <c r="I11" i="89"/>
  <c r="I10" i="89" s="1"/>
  <c r="I21" i="89" s="1"/>
  <c r="H11" i="89"/>
  <c r="G11" i="89"/>
  <c r="F11" i="89"/>
  <c r="F10" i="89" s="1"/>
  <c r="F21" i="89" s="1"/>
  <c r="F22" i="89" s="1"/>
  <c r="E11" i="89"/>
  <c r="E10" i="89" s="1"/>
  <c r="E21" i="89" s="1"/>
  <c r="D11" i="89"/>
  <c r="B11" i="89"/>
  <c r="O10" i="89"/>
  <c r="O21" i="89" s="1"/>
  <c r="N10" i="89"/>
  <c r="M10" i="89"/>
  <c r="L10" i="89"/>
  <c r="L21" i="89" s="1"/>
  <c r="K10" i="89"/>
  <c r="J10" i="89"/>
  <c r="J21" i="89" s="1"/>
  <c r="H10" i="89"/>
  <c r="H21" i="89" s="1"/>
  <c r="G10" i="89"/>
  <c r="G21" i="89" s="1"/>
  <c r="D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I88" i="88"/>
  <c r="H88" i="88"/>
  <c r="G88" i="88"/>
  <c r="F88" i="88"/>
  <c r="E88" i="88"/>
  <c r="D88" i="88"/>
  <c r="Q88" i="88" s="1"/>
  <c r="Q86" i="88"/>
  <c r="B86" i="88"/>
  <c r="O85" i="88"/>
  <c r="N85" i="88"/>
  <c r="M85" i="88"/>
  <c r="L85" i="88"/>
  <c r="K85" i="88"/>
  <c r="J85" i="88"/>
  <c r="I85" i="88"/>
  <c r="H85" i="88"/>
  <c r="G85" i="88"/>
  <c r="F85" i="88"/>
  <c r="E85" i="88"/>
  <c r="D85" i="88"/>
  <c r="B85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E83" i="88"/>
  <c r="D83" i="88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N74" i="88"/>
  <c r="M74" i="88"/>
  <c r="L74" i="88"/>
  <c r="K74" i="88"/>
  <c r="J74" i="88"/>
  <c r="I74" i="88"/>
  <c r="H74" i="88"/>
  <c r="G74" i="88"/>
  <c r="F74" i="88"/>
  <c r="E74" i="88"/>
  <c r="D74" i="88"/>
  <c r="Q74" i="88" s="1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G69" i="88"/>
  <c r="F69" i="88"/>
  <c r="E69" i="88"/>
  <c r="Q69" i="88" s="1"/>
  <c r="D69" i="88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F65" i="88"/>
  <c r="E65" i="88"/>
  <c r="D65" i="88"/>
  <c r="Q65" i="88" s="1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E61" i="88"/>
  <c r="D61" i="88"/>
  <c r="Q61" i="88" s="1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E57" i="88"/>
  <c r="D57" i="88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E55" i="88"/>
  <c r="D55" i="88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E49" i="88"/>
  <c r="D49" i="88"/>
  <c r="Q49" i="88" s="1"/>
  <c r="B49" i="88"/>
  <c r="Q48" i="88"/>
  <c r="B48" i="88"/>
  <c r="O47" i="88"/>
  <c r="N47" i="88"/>
  <c r="M47" i="88"/>
  <c r="L47" i="88"/>
  <c r="K47" i="88"/>
  <c r="K24" i="88" s="1"/>
  <c r="K90" i="88" s="1"/>
  <c r="J47" i="88"/>
  <c r="I47" i="88"/>
  <c r="H47" i="88"/>
  <c r="G47" i="88"/>
  <c r="F47" i="88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J36" i="88"/>
  <c r="I36" i="88"/>
  <c r="H36" i="88"/>
  <c r="G36" i="88"/>
  <c r="F36" i="88"/>
  <c r="E36" i="88"/>
  <c r="D36" i="88"/>
  <c r="Q36" i="88" s="1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O24" i="88" s="1"/>
  <c r="N25" i="88"/>
  <c r="M25" i="88"/>
  <c r="M24" i="88" s="1"/>
  <c r="L25" i="88"/>
  <c r="K25" i="88"/>
  <c r="J25" i="88"/>
  <c r="J24" i="88" s="1"/>
  <c r="I25" i="88"/>
  <c r="H25" i="88"/>
  <c r="G25" i="88"/>
  <c r="G24" i="88" s="1"/>
  <c r="F25" i="88"/>
  <c r="E25" i="88"/>
  <c r="E24" i="88" s="1"/>
  <c r="D25" i="88"/>
  <c r="B25" i="88"/>
  <c r="N24" i="88"/>
  <c r="L24" i="88"/>
  <c r="H24" i="88"/>
  <c r="F24" i="88"/>
  <c r="D24" i="88"/>
  <c r="O21" i="88"/>
  <c r="E21" i="88"/>
  <c r="E22" i="88" s="1"/>
  <c r="Q19" i="88"/>
  <c r="B19" i="88"/>
  <c r="Q18" i="88"/>
  <c r="B18" i="88"/>
  <c r="Q17" i="88"/>
  <c r="Q16" i="88" s="1"/>
  <c r="B17" i="88"/>
  <c r="O16" i="88"/>
  <c r="N16" i="88"/>
  <c r="M16" i="88"/>
  <c r="L16" i="88"/>
  <c r="K16" i="88"/>
  <c r="J16" i="88"/>
  <c r="I16" i="88"/>
  <c r="H16" i="88"/>
  <c r="G16" i="88"/>
  <c r="F16" i="88"/>
  <c r="E16" i="88"/>
  <c r="D16" i="88"/>
  <c r="I14" i="88"/>
  <c r="H14" i="88"/>
  <c r="G14" i="88"/>
  <c r="F14" i="88"/>
  <c r="E14" i="88"/>
  <c r="D14" i="88"/>
  <c r="B14" i="88"/>
  <c r="I13" i="88"/>
  <c r="H13" i="88"/>
  <c r="G13" i="88"/>
  <c r="G10" i="88" s="1"/>
  <c r="G21" i="88" s="1"/>
  <c r="F13" i="88"/>
  <c r="E13" i="88"/>
  <c r="D13" i="88"/>
  <c r="B13" i="88"/>
  <c r="I12" i="88"/>
  <c r="H12" i="88"/>
  <c r="G12" i="88"/>
  <c r="F12" i="88"/>
  <c r="E12" i="88"/>
  <c r="D12" i="88"/>
  <c r="Q12" i="88" s="1"/>
  <c r="B12" i="88"/>
  <c r="I11" i="88"/>
  <c r="H11" i="88"/>
  <c r="G11" i="88"/>
  <c r="F11" i="88"/>
  <c r="E11" i="88"/>
  <c r="D11" i="88"/>
  <c r="D10" i="88" s="1"/>
  <c r="D21" i="88" s="1"/>
  <c r="B11" i="88"/>
  <c r="O10" i="88"/>
  <c r="N10" i="88"/>
  <c r="N21" i="88" s="1"/>
  <c r="M10" i="88"/>
  <c r="M21" i="88" s="1"/>
  <c r="L10" i="88"/>
  <c r="L21" i="88" s="1"/>
  <c r="K10" i="88"/>
  <c r="K21" i="88" s="1"/>
  <c r="K22" i="88" s="1"/>
  <c r="J10" i="88"/>
  <c r="J21" i="88" s="1"/>
  <c r="H10" i="88"/>
  <c r="F10" i="88"/>
  <c r="F21" i="88" s="1"/>
  <c r="E10" i="88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1" i="87"/>
  <c r="I56" i="87"/>
  <c r="H56" i="87"/>
  <c r="Q56" i="87" s="1"/>
  <c r="G56" i="87"/>
  <c r="F56" i="87"/>
  <c r="E56" i="87"/>
  <c r="D56" i="87"/>
  <c r="Q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Q53" i="87" s="1"/>
  <c r="B53" i="87"/>
  <c r="Q52" i="87"/>
  <c r="B52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Q51" i="87" s="1"/>
  <c r="B51" i="87"/>
  <c r="Q50" i="87"/>
  <c r="B50" i="87"/>
  <c r="Q49" i="87"/>
  <c r="B49" i="87"/>
  <c r="O48" i="87"/>
  <c r="N48" i="87"/>
  <c r="M48" i="87"/>
  <c r="L48" i="87"/>
  <c r="K48" i="87"/>
  <c r="J48" i="87"/>
  <c r="I48" i="87"/>
  <c r="H48" i="87"/>
  <c r="G48" i="87"/>
  <c r="F48" i="87"/>
  <c r="E48" i="87"/>
  <c r="D48" i="87"/>
  <c r="Q48" i="87" s="1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Q43" i="87" s="1"/>
  <c r="D43" i="87"/>
  <c r="B43" i="87"/>
  <c r="Q42" i="87"/>
  <c r="B42" i="87"/>
  <c r="O41" i="87"/>
  <c r="N41" i="87"/>
  <c r="M41" i="87"/>
  <c r="L41" i="87"/>
  <c r="K41" i="87"/>
  <c r="K17" i="87" s="1"/>
  <c r="J41" i="87"/>
  <c r="I41" i="87"/>
  <c r="H41" i="87"/>
  <c r="G41" i="87"/>
  <c r="F41" i="87"/>
  <c r="E41" i="87"/>
  <c r="Q41" i="87" s="1"/>
  <c r="D41" i="87"/>
  <c r="B41" i="87"/>
  <c r="Q40" i="87"/>
  <c r="B40" i="87"/>
  <c r="O39" i="87"/>
  <c r="N39" i="87"/>
  <c r="M39" i="87"/>
  <c r="L39" i="87"/>
  <c r="K39" i="87"/>
  <c r="J39" i="87"/>
  <c r="I39" i="87"/>
  <c r="H39" i="87"/>
  <c r="G39" i="87"/>
  <c r="F39" i="87"/>
  <c r="E39" i="87"/>
  <c r="Q39" i="87" s="1"/>
  <c r="D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O17" i="87" s="1"/>
  <c r="N18" i="87"/>
  <c r="M18" i="87"/>
  <c r="L18" i="87"/>
  <c r="K18" i="87"/>
  <c r="J18" i="87"/>
  <c r="J17" i="87" s="1"/>
  <c r="I18" i="87"/>
  <c r="H18" i="87"/>
  <c r="G18" i="87"/>
  <c r="G17" i="87" s="1"/>
  <c r="F18" i="87"/>
  <c r="E18" i="87"/>
  <c r="Q18" i="87" s="1"/>
  <c r="D18" i="87"/>
  <c r="B18" i="87"/>
  <c r="N17" i="87"/>
  <c r="L17" i="87"/>
  <c r="H17" i="87"/>
  <c r="F17" i="87"/>
  <c r="D17" i="87"/>
  <c r="Q15" i="87"/>
  <c r="H15" i="87"/>
  <c r="Q14" i="87"/>
  <c r="M14" i="87"/>
  <c r="H14" i="87"/>
  <c r="E14" i="87"/>
  <c r="Q12" i="87"/>
  <c r="O12" i="87"/>
  <c r="N12" i="87"/>
  <c r="N14" i="87" s="1"/>
  <c r="M12" i="87"/>
  <c r="L12" i="87"/>
  <c r="K12" i="87"/>
  <c r="J12" i="87"/>
  <c r="I12" i="87"/>
  <c r="H12" i="87"/>
  <c r="G12" i="87"/>
  <c r="F12" i="87"/>
  <c r="F14" i="87" s="1"/>
  <c r="E12" i="87"/>
  <c r="D12" i="87"/>
  <c r="Q10" i="87"/>
  <c r="O10" i="87"/>
  <c r="O14" i="87" s="1"/>
  <c r="N10" i="87"/>
  <c r="M10" i="87"/>
  <c r="L10" i="87"/>
  <c r="K10" i="87"/>
  <c r="K14" i="87" s="1"/>
  <c r="K15" i="87" s="1"/>
  <c r="J10" i="87"/>
  <c r="I10" i="87"/>
  <c r="I14" i="87" s="1"/>
  <c r="I15" i="87" s="1"/>
  <c r="H10" i="87"/>
  <c r="G10" i="87"/>
  <c r="G14" i="87" s="1"/>
  <c r="F10" i="87"/>
  <c r="E10" i="87"/>
  <c r="D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6" i="86"/>
  <c r="Q31" i="86"/>
  <c r="I31" i="86"/>
  <c r="H31" i="86"/>
  <c r="G31" i="86"/>
  <c r="F31" i="86"/>
  <c r="E31" i="86"/>
  <c r="D31" i="86"/>
  <c r="Q29" i="86"/>
  <c r="B29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Q28" i="86" s="1"/>
  <c r="B28" i="86"/>
  <c r="Q27" i="86"/>
  <c r="B27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B26" i="86"/>
  <c r="Q25" i="86"/>
  <c r="B25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Q24" i="86" s="1"/>
  <c r="B24" i="86"/>
  <c r="Q23" i="86"/>
  <c r="B23" i="86"/>
  <c r="O22" i="86"/>
  <c r="N22" i="86"/>
  <c r="M22" i="86"/>
  <c r="L22" i="86"/>
  <c r="K22" i="86"/>
  <c r="J22" i="86"/>
  <c r="I22" i="86"/>
  <c r="I19" i="86" s="1"/>
  <c r="H22" i="86"/>
  <c r="G22" i="86"/>
  <c r="F22" i="86"/>
  <c r="E22" i="86"/>
  <c r="D22" i="86"/>
  <c r="B22" i="86"/>
  <c r="Q21" i="86"/>
  <c r="B21" i="86"/>
  <c r="O20" i="86"/>
  <c r="N20" i="86"/>
  <c r="M20" i="86"/>
  <c r="L20" i="86"/>
  <c r="K20" i="86"/>
  <c r="J20" i="86"/>
  <c r="I20" i="86"/>
  <c r="H20" i="86"/>
  <c r="G20" i="86"/>
  <c r="F20" i="86"/>
  <c r="E20" i="86"/>
  <c r="D20" i="86"/>
  <c r="B20" i="86"/>
  <c r="O19" i="86"/>
  <c r="N19" i="86"/>
  <c r="M19" i="86"/>
  <c r="L19" i="86"/>
  <c r="J19" i="86"/>
  <c r="H19" i="86"/>
  <c r="G19" i="86"/>
  <c r="F19" i="86"/>
  <c r="E19" i="86"/>
  <c r="D19" i="86"/>
  <c r="L17" i="86"/>
  <c r="E17" i="86"/>
  <c r="N16" i="86"/>
  <c r="Q14" i="86"/>
  <c r="Q13" i="86" s="1"/>
  <c r="B14" i="86"/>
  <c r="O13" i="86"/>
  <c r="N13" i="86"/>
  <c r="M13" i="86"/>
  <c r="L13" i="86"/>
  <c r="K13" i="86"/>
  <c r="K16" i="86" s="1"/>
  <c r="J13" i="86"/>
  <c r="I13" i="86"/>
  <c r="H13" i="86"/>
  <c r="G13" i="86"/>
  <c r="F13" i="86"/>
  <c r="E13" i="86"/>
  <c r="D13" i="86"/>
  <c r="I11" i="86"/>
  <c r="I10" i="86" s="1"/>
  <c r="I16" i="86" s="1"/>
  <c r="H11" i="86"/>
  <c r="G11" i="86"/>
  <c r="F11" i="86"/>
  <c r="E11" i="86"/>
  <c r="D11" i="86"/>
  <c r="D10" i="86" s="1"/>
  <c r="D16" i="86" s="1"/>
  <c r="B11" i="86"/>
  <c r="O10" i="86"/>
  <c r="O16" i="86" s="1"/>
  <c r="N10" i="86"/>
  <c r="M10" i="86"/>
  <c r="M16" i="86" s="1"/>
  <c r="L10" i="86"/>
  <c r="L16" i="86" s="1"/>
  <c r="L33" i="86" s="1"/>
  <c r="K10" i="86"/>
  <c r="J10" i="86"/>
  <c r="J16" i="86" s="1"/>
  <c r="H10" i="86"/>
  <c r="F10" i="86"/>
  <c r="F16" i="86" s="1"/>
  <c r="E10" i="86"/>
  <c r="E16" i="86" s="1"/>
  <c r="E33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8" i="85"/>
  <c r="Q23" i="85"/>
  <c r="I23" i="85"/>
  <c r="H23" i="85"/>
  <c r="G23" i="85"/>
  <c r="F23" i="85"/>
  <c r="E23" i="85"/>
  <c r="D23" i="85"/>
  <c r="Q21" i="85"/>
  <c r="B21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Q20" i="85" s="1"/>
  <c r="B20" i="85"/>
  <c r="Q19" i="85"/>
  <c r="B19" i="85"/>
  <c r="O18" i="85"/>
  <c r="N18" i="85"/>
  <c r="M18" i="85"/>
  <c r="L18" i="85"/>
  <c r="L17" i="85" s="1"/>
  <c r="K18" i="85"/>
  <c r="J18" i="85"/>
  <c r="J17" i="85" s="1"/>
  <c r="I18" i="85"/>
  <c r="H18" i="85"/>
  <c r="G18" i="85"/>
  <c r="G17" i="85" s="1"/>
  <c r="F18" i="85"/>
  <c r="E18" i="85"/>
  <c r="D18" i="85"/>
  <c r="D17" i="85" s="1"/>
  <c r="B18" i="85"/>
  <c r="O17" i="85"/>
  <c r="N17" i="85"/>
  <c r="M17" i="85"/>
  <c r="K17" i="85"/>
  <c r="H17" i="85"/>
  <c r="F17" i="85"/>
  <c r="E17" i="85"/>
  <c r="J15" i="85"/>
  <c r="Q14" i="85"/>
  <c r="O14" i="85"/>
  <c r="J14" i="85"/>
  <c r="H14" i="85"/>
  <c r="G14" i="85"/>
  <c r="Q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Q10" i="85"/>
  <c r="O10" i="85"/>
  <c r="N10" i="85"/>
  <c r="M10" i="85"/>
  <c r="M14" i="85" s="1"/>
  <c r="L10" i="85"/>
  <c r="K10" i="85"/>
  <c r="K14" i="85" s="1"/>
  <c r="J10" i="85"/>
  <c r="I10" i="85"/>
  <c r="I14" i="85" s="1"/>
  <c r="H10" i="85"/>
  <c r="G10" i="85"/>
  <c r="F10" i="85"/>
  <c r="E10" i="85"/>
  <c r="E14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I45" i="84"/>
  <c r="H45" i="84"/>
  <c r="G45" i="84"/>
  <c r="F45" i="84"/>
  <c r="E45" i="84"/>
  <c r="D45" i="84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Q42" i="84" s="1"/>
  <c r="D42" i="84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Q38" i="84" s="1"/>
  <c r="D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O17" i="84" s="1"/>
  <c r="N27" i="84"/>
  <c r="M27" i="84"/>
  <c r="L27" i="84"/>
  <c r="K27" i="84"/>
  <c r="J27" i="84"/>
  <c r="J17" i="84" s="1"/>
  <c r="I27" i="84"/>
  <c r="H27" i="84"/>
  <c r="G27" i="84"/>
  <c r="G17" i="84" s="1"/>
  <c r="F27" i="84"/>
  <c r="E27" i="84"/>
  <c r="Q27" i="84" s="1"/>
  <c r="D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N17" i="84" s="1"/>
  <c r="M18" i="84"/>
  <c r="M17" i="84" s="1"/>
  <c r="L18" i="84"/>
  <c r="K18" i="84"/>
  <c r="J18" i="84"/>
  <c r="I18" i="84"/>
  <c r="H18" i="84"/>
  <c r="H17" i="84" s="1"/>
  <c r="G18" i="84"/>
  <c r="F18" i="84"/>
  <c r="F17" i="84" s="1"/>
  <c r="E18" i="84"/>
  <c r="D18" i="84"/>
  <c r="B18" i="84"/>
  <c r="L17" i="84"/>
  <c r="I17" i="84"/>
  <c r="D17" i="84"/>
  <c r="N15" i="84"/>
  <c r="F15" i="84"/>
  <c r="N14" i="84"/>
  <c r="L14" i="84"/>
  <c r="L47" i="84" s="1"/>
  <c r="K14" i="84"/>
  <c r="F14" i="84"/>
  <c r="E14" i="84"/>
  <c r="D14" i="84"/>
  <c r="Q12" i="84"/>
  <c r="O12" i="84"/>
  <c r="N12" i="84"/>
  <c r="M12" i="84"/>
  <c r="L12" i="84"/>
  <c r="K12" i="84"/>
  <c r="J12" i="84"/>
  <c r="I12" i="84"/>
  <c r="H12" i="84"/>
  <c r="G12" i="84"/>
  <c r="F12" i="84"/>
  <c r="E12" i="84"/>
  <c r="D12" i="84"/>
  <c r="Q10" i="84"/>
  <c r="O10" i="84"/>
  <c r="O14" i="84" s="1"/>
  <c r="N10" i="84"/>
  <c r="M10" i="84"/>
  <c r="M14" i="84" s="1"/>
  <c r="L10" i="84"/>
  <c r="K10" i="84"/>
  <c r="J10" i="84"/>
  <c r="I10" i="84"/>
  <c r="I14" i="84" s="1"/>
  <c r="H10" i="84"/>
  <c r="G10" i="84"/>
  <c r="G14" i="84" s="1"/>
  <c r="G15" i="84" s="1"/>
  <c r="F10" i="84"/>
  <c r="E10" i="84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9" i="83"/>
  <c r="Q84" i="83"/>
  <c r="I84" i="83"/>
  <c r="H84" i="83"/>
  <c r="G84" i="83"/>
  <c r="F84" i="83"/>
  <c r="E84" i="83"/>
  <c r="D84" i="83"/>
  <c r="Q82" i="83"/>
  <c r="B82" i="83"/>
  <c r="O81" i="83"/>
  <c r="N81" i="83"/>
  <c r="M81" i="83"/>
  <c r="L81" i="83"/>
  <c r="K81" i="83"/>
  <c r="J81" i="83"/>
  <c r="I81" i="83"/>
  <c r="H81" i="83"/>
  <c r="G81" i="83"/>
  <c r="F81" i="83"/>
  <c r="E81" i="83"/>
  <c r="D81" i="83"/>
  <c r="B81" i="83"/>
  <c r="Q80" i="83"/>
  <c r="B80" i="83"/>
  <c r="O79" i="83"/>
  <c r="N79" i="83"/>
  <c r="M79" i="83"/>
  <c r="L79" i="83"/>
  <c r="K79" i="83"/>
  <c r="J79" i="83"/>
  <c r="I79" i="83"/>
  <c r="H79" i="83"/>
  <c r="G79" i="83"/>
  <c r="F79" i="83"/>
  <c r="E79" i="83"/>
  <c r="D79" i="83"/>
  <c r="Q79" i="83" s="1"/>
  <c r="B79" i="83"/>
  <c r="Q78" i="83"/>
  <c r="B78" i="83"/>
  <c r="O77" i="83"/>
  <c r="N77" i="83"/>
  <c r="M77" i="83"/>
  <c r="L77" i="83"/>
  <c r="K77" i="83"/>
  <c r="J77" i="83"/>
  <c r="I77" i="83"/>
  <c r="H77" i="83"/>
  <c r="G77" i="83"/>
  <c r="F77" i="83"/>
  <c r="E77" i="83"/>
  <c r="D77" i="83"/>
  <c r="B77" i="83"/>
  <c r="Q76" i="83"/>
  <c r="B76" i="83"/>
  <c r="Q75" i="83"/>
  <c r="B75" i="83"/>
  <c r="O74" i="83"/>
  <c r="N74" i="83"/>
  <c r="M74" i="83"/>
  <c r="L74" i="83"/>
  <c r="K74" i="83"/>
  <c r="J74" i="83"/>
  <c r="I74" i="83"/>
  <c r="H74" i="83"/>
  <c r="G74" i="83"/>
  <c r="F74" i="83"/>
  <c r="E74" i="83"/>
  <c r="D74" i="83"/>
  <c r="Q74" i="83" s="1"/>
  <c r="B74" i="83"/>
  <c r="Q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O66" i="83"/>
  <c r="N66" i="83"/>
  <c r="M66" i="83"/>
  <c r="L66" i="83"/>
  <c r="K66" i="83"/>
  <c r="J66" i="83"/>
  <c r="I66" i="83"/>
  <c r="H66" i="83"/>
  <c r="G66" i="83"/>
  <c r="G21" i="83" s="1"/>
  <c r="F66" i="83"/>
  <c r="E66" i="83"/>
  <c r="D66" i="83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B64" i="83"/>
  <c r="Q63" i="83"/>
  <c r="B63" i="83"/>
  <c r="Q62" i="83"/>
  <c r="B62" i="83"/>
  <c r="Q61" i="83"/>
  <c r="B61" i="83"/>
  <c r="O60" i="83"/>
  <c r="N60" i="83"/>
  <c r="M60" i="83"/>
  <c r="L60" i="83"/>
  <c r="K60" i="83"/>
  <c r="J60" i="83"/>
  <c r="I60" i="83"/>
  <c r="H60" i="83"/>
  <c r="G60" i="83"/>
  <c r="F60" i="83"/>
  <c r="E60" i="83"/>
  <c r="D60" i="83"/>
  <c r="B60" i="83"/>
  <c r="Q59" i="83"/>
  <c r="B59" i="83"/>
  <c r="Q58" i="83"/>
  <c r="B58" i="83"/>
  <c r="O57" i="83"/>
  <c r="N57" i="83"/>
  <c r="M57" i="83"/>
  <c r="L57" i="83"/>
  <c r="K57" i="83"/>
  <c r="J57" i="83"/>
  <c r="I57" i="83"/>
  <c r="H57" i="83"/>
  <c r="G57" i="83"/>
  <c r="F57" i="83"/>
  <c r="E57" i="83"/>
  <c r="Q57" i="83" s="1"/>
  <c r="D57" i="83"/>
  <c r="B57" i="83"/>
  <c r="Q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Q52" i="83" s="1"/>
  <c r="D52" i="83"/>
  <c r="B52" i="83"/>
  <c r="Q51" i="83"/>
  <c r="B51" i="83"/>
  <c r="O50" i="83"/>
  <c r="N50" i="83"/>
  <c r="M50" i="83"/>
  <c r="L50" i="83"/>
  <c r="K50" i="83"/>
  <c r="J50" i="83"/>
  <c r="I50" i="83"/>
  <c r="H50" i="83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Q47" i="83" s="1"/>
  <c r="B47" i="83"/>
  <c r="Q46" i="83"/>
  <c r="B46" i="83"/>
  <c r="O45" i="83"/>
  <c r="N45" i="83"/>
  <c r="M45" i="83"/>
  <c r="L45" i="83"/>
  <c r="K45" i="83"/>
  <c r="J45" i="83"/>
  <c r="I45" i="83"/>
  <c r="H45" i="83"/>
  <c r="G45" i="83"/>
  <c r="F45" i="83"/>
  <c r="E45" i="83"/>
  <c r="D45" i="83"/>
  <c r="B45" i="83"/>
  <c r="Q44" i="83"/>
  <c r="B44" i="83"/>
  <c r="O43" i="83"/>
  <c r="N43" i="83"/>
  <c r="M43" i="83"/>
  <c r="L43" i="83"/>
  <c r="K43" i="83"/>
  <c r="J43" i="83"/>
  <c r="I43" i="83"/>
  <c r="H43" i="83"/>
  <c r="G43" i="83"/>
  <c r="F43" i="83"/>
  <c r="E43" i="83"/>
  <c r="D43" i="83"/>
  <c r="Q43" i="83" s="1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I21" i="83" s="1"/>
  <c r="H32" i="83"/>
  <c r="G32" i="83"/>
  <c r="F32" i="83"/>
  <c r="E32" i="83"/>
  <c r="D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N22" i="83"/>
  <c r="N21" i="83" s="1"/>
  <c r="M22" i="83"/>
  <c r="L22" i="83"/>
  <c r="L21" i="83" s="1"/>
  <c r="K22" i="83"/>
  <c r="K21" i="83" s="1"/>
  <c r="J22" i="83"/>
  <c r="I22" i="83"/>
  <c r="H22" i="83"/>
  <c r="G22" i="83"/>
  <c r="F22" i="83"/>
  <c r="F21" i="83" s="1"/>
  <c r="E22" i="83"/>
  <c r="D22" i="83"/>
  <c r="B22" i="83"/>
  <c r="J21" i="83"/>
  <c r="H21" i="83"/>
  <c r="N19" i="83"/>
  <c r="L19" i="83"/>
  <c r="F19" i="83"/>
  <c r="N18" i="83"/>
  <c r="K18" i="83"/>
  <c r="Q16" i="83"/>
  <c r="B16" i="83"/>
  <c r="Q15" i="83"/>
  <c r="B15" i="83"/>
  <c r="O14" i="83"/>
  <c r="N14" i="83"/>
  <c r="M14" i="83"/>
  <c r="L14" i="83"/>
  <c r="L18" i="83" s="1"/>
  <c r="K14" i="83"/>
  <c r="J14" i="83"/>
  <c r="I14" i="83"/>
  <c r="H14" i="83"/>
  <c r="G14" i="83"/>
  <c r="F14" i="83"/>
  <c r="E14" i="83"/>
  <c r="D14" i="83"/>
  <c r="I12" i="83"/>
  <c r="I10" i="83" s="1"/>
  <c r="I18" i="83" s="1"/>
  <c r="H12" i="83"/>
  <c r="G12" i="83"/>
  <c r="F12" i="83"/>
  <c r="E12" i="83"/>
  <c r="D12" i="83"/>
  <c r="B12" i="83"/>
  <c r="I11" i="83"/>
  <c r="H11" i="83"/>
  <c r="G11" i="83"/>
  <c r="F11" i="83"/>
  <c r="F10" i="83" s="1"/>
  <c r="F18" i="83" s="1"/>
  <c r="E11" i="83"/>
  <c r="D11" i="83"/>
  <c r="D10" i="83" s="1"/>
  <c r="D18" i="83" s="1"/>
  <c r="B11" i="83"/>
  <c r="O10" i="83"/>
  <c r="O18" i="83" s="1"/>
  <c r="N10" i="83"/>
  <c r="M10" i="83"/>
  <c r="M18" i="83" s="1"/>
  <c r="L10" i="83"/>
  <c r="K10" i="83"/>
  <c r="J10" i="83"/>
  <c r="J18" i="83" s="1"/>
  <c r="H10" i="83"/>
  <c r="H18" i="83" s="1"/>
  <c r="G10" i="83"/>
  <c r="G18" i="83" s="1"/>
  <c r="E10" i="83"/>
  <c r="E18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4" i="82"/>
  <c r="I89" i="82"/>
  <c r="H89" i="82"/>
  <c r="G89" i="82"/>
  <c r="F89" i="82"/>
  <c r="E89" i="82"/>
  <c r="D89" i="82"/>
  <c r="Q89" i="82" s="1"/>
  <c r="Q87" i="82"/>
  <c r="B87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B86" i="82"/>
  <c r="Q85" i="82"/>
  <c r="B85" i="82"/>
  <c r="O84" i="82"/>
  <c r="N84" i="82"/>
  <c r="M84" i="82"/>
  <c r="L84" i="82"/>
  <c r="K84" i="82"/>
  <c r="J84" i="82"/>
  <c r="I84" i="82"/>
  <c r="H84" i="82"/>
  <c r="G84" i="82"/>
  <c r="F84" i="82"/>
  <c r="E84" i="82"/>
  <c r="D84" i="82"/>
  <c r="B84" i="82"/>
  <c r="Q83" i="82"/>
  <c r="B83" i="82"/>
  <c r="Q82" i="82"/>
  <c r="B82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B81" i="82"/>
  <c r="Q80" i="82"/>
  <c r="B80" i="82"/>
  <c r="Q79" i="82"/>
  <c r="B79" i="82"/>
  <c r="Q78" i="82"/>
  <c r="B78" i="82"/>
  <c r="Q77" i="82"/>
  <c r="B77" i="82"/>
  <c r="Q76" i="82"/>
  <c r="B76" i="82"/>
  <c r="O75" i="82"/>
  <c r="N75" i="82"/>
  <c r="M75" i="82"/>
  <c r="L75" i="82"/>
  <c r="K75" i="82"/>
  <c r="J75" i="82"/>
  <c r="I75" i="82"/>
  <c r="H75" i="82"/>
  <c r="G75" i="82"/>
  <c r="F75" i="82"/>
  <c r="E75" i="82"/>
  <c r="Q75" i="82" s="1"/>
  <c r="D75" i="82"/>
  <c r="B75" i="82"/>
  <c r="Q74" i="82"/>
  <c r="B74" i="82"/>
  <c r="O73" i="82"/>
  <c r="N73" i="82"/>
  <c r="M73" i="82"/>
  <c r="L73" i="82"/>
  <c r="K73" i="82"/>
  <c r="J73" i="82"/>
  <c r="I73" i="82"/>
  <c r="H73" i="82"/>
  <c r="G73" i="82"/>
  <c r="F73" i="82"/>
  <c r="E73" i="82"/>
  <c r="Q73" i="82" s="1"/>
  <c r="D73" i="82"/>
  <c r="B73" i="82"/>
  <c r="Q72" i="82"/>
  <c r="B72" i="82"/>
  <c r="Q71" i="82"/>
  <c r="B71" i="82"/>
  <c r="Q70" i="82"/>
  <c r="B70" i="82"/>
  <c r="Q69" i="82"/>
  <c r="B69" i="82"/>
  <c r="O68" i="82"/>
  <c r="N68" i="82"/>
  <c r="M68" i="82"/>
  <c r="L68" i="82"/>
  <c r="K68" i="82"/>
  <c r="J68" i="82"/>
  <c r="I68" i="82"/>
  <c r="H68" i="82"/>
  <c r="G68" i="82"/>
  <c r="F68" i="82"/>
  <c r="E68" i="82"/>
  <c r="D68" i="82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G65" i="82"/>
  <c r="F65" i="82"/>
  <c r="E65" i="82"/>
  <c r="Q65" i="82" s="1"/>
  <c r="D65" i="82"/>
  <c r="B65" i="82"/>
  <c r="Q64" i="82"/>
  <c r="B64" i="82"/>
  <c r="O63" i="82"/>
  <c r="N63" i="82"/>
  <c r="M63" i="82"/>
  <c r="L63" i="82"/>
  <c r="K63" i="82"/>
  <c r="J63" i="82"/>
  <c r="I63" i="82"/>
  <c r="H63" i="82"/>
  <c r="G63" i="82"/>
  <c r="F63" i="82"/>
  <c r="E63" i="82"/>
  <c r="Q63" i="82" s="1"/>
  <c r="D63" i="82"/>
  <c r="B63" i="82"/>
  <c r="Q62" i="82"/>
  <c r="B62" i="82"/>
  <c r="O61" i="82"/>
  <c r="N61" i="82"/>
  <c r="M61" i="82"/>
  <c r="L61" i="82"/>
  <c r="K61" i="82"/>
  <c r="J61" i="82"/>
  <c r="I61" i="82"/>
  <c r="H61" i="82"/>
  <c r="G61" i="82"/>
  <c r="F61" i="82"/>
  <c r="E61" i="82"/>
  <c r="Q61" i="82" s="1"/>
  <c r="D61" i="82"/>
  <c r="B61" i="82"/>
  <c r="Q60" i="82"/>
  <c r="B60" i="82"/>
  <c r="O59" i="82"/>
  <c r="N59" i="82"/>
  <c r="M59" i="82"/>
  <c r="L59" i="82"/>
  <c r="K59" i="82"/>
  <c r="J59" i="82"/>
  <c r="I59" i="82"/>
  <c r="H59" i="82"/>
  <c r="G59" i="82"/>
  <c r="F59" i="82"/>
  <c r="E59" i="82"/>
  <c r="Q59" i="82" s="1"/>
  <c r="D59" i="82"/>
  <c r="B59" i="82"/>
  <c r="Q58" i="82"/>
  <c r="B58" i="82"/>
  <c r="O57" i="82"/>
  <c r="N57" i="82"/>
  <c r="M57" i="82"/>
  <c r="L57" i="82"/>
  <c r="K57" i="82"/>
  <c r="J57" i="82"/>
  <c r="I57" i="82"/>
  <c r="H57" i="82"/>
  <c r="G57" i="82"/>
  <c r="F57" i="82"/>
  <c r="E57" i="82"/>
  <c r="D57" i="82"/>
  <c r="B57" i="82"/>
  <c r="Q56" i="82"/>
  <c r="B56" i="82"/>
  <c r="O55" i="82"/>
  <c r="N55" i="82"/>
  <c r="M55" i="82"/>
  <c r="L55" i="82"/>
  <c r="K55" i="82"/>
  <c r="J55" i="82"/>
  <c r="I55" i="82"/>
  <c r="H55" i="82"/>
  <c r="G55" i="82"/>
  <c r="F55" i="82"/>
  <c r="E55" i="82"/>
  <c r="Q55" i="82" s="1"/>
  <c r="D55" i="82"/>
  <c r="B55" i="82"/>
  <c r="Q54" i="82"/>
  <c r="B54" i="82"/>
  <c r="Q53" i="82"/>
  <c r="B53" i="82"/>
  <c r="O52" i="82"/>
  <c r="N52" i="82"/>
  <c r="M52" i="82"/>
  <c r="L52" i="82"/>
  <c r="K52" i="82"/>
  <c r="J52" i="82"/>
  <c r="I52" i="82"/>
  <c r="H52" i="82"/>
  <c r="G52" i="82"/>
  <c r="F52" i="82"/>
  <c r="E52" i="82"/>
  <c r="D52" i="82"/>
  <c r="B52" i="82"/>
  <c r="Q51" i="82"/>
  <c r="B51" i="82"/>
  <c r="O50" i="82"/>
  <c r="N50" i="82"/>
  <c r="M50" i="82"/>
  <c r="M24" i="82" s="1"/>
  <c r="L50" i="82"/>
  <c r="K50" i="82"/>
  <c r="J50" i="82"/>
  <c r="I50" i="82"/>
  <c r="H50" i="82"/>
  <c r="G50" i="82"/>
  <c r="F50" i="82"/>
  <c r="E50" i="82"/>
  <c r="D50" i="82"/>
  <c r="B50" i="82"/>
  <c r="Q49" i="82"/>
  <c r="B49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B48" i="82"/>
  <c r="Q47" i="82"/>
  <c r="B47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O35" i="82"/>
  <c r="O24" i="82" s="1"/>
  <c r="N35" i="82"/>
  <c r="M35" i="82"/>
  <c r="L35" i="82"/>
  <c r="K35" i="82"/>
  <c r="J35" i="82"/>
  <c r="I35" i="82"/>
  <c r="H35" i="82"/>
  <c r="G35" i="82"/>
  <c r="F35" i="82"/>
  <c r="E35" i="82"/>
  <c r="D35" i="82"/>
  <c r="Q35" i="82" s="1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M25" i="82"/>
  <c r="L25" i="82"/>
  <c r="K25" i="82"/>
  <c r="J25" i="82"/>
  <c r="J24" i="82" s="1"/>
  <c r="I25" i="82"/>
  <c r="H25" i="82"/>
  <c r="G25" i="82"/>
  <c r="G24" i="82" s="1"/>
  <c r="F25" i="82"/>
  <c r="E25" i="82"/>
  <c r="D25" i="82"/>
  <c r="Q25" i="82" s="1"/>
  <c r="B25" i="82"/>
  <c r="N24" i="82"/>
  <c r="L24" i="82"/>
  <c r="H24" i="82"/>
  <c r="F24" i="82"/>
  <c r="D24" i="82"/>
  <c r="Q19" i="82"/>
  <c r="B19" i="82"/>
  <c r="Q18" i="82"/>
  <c r="B18" i="82"/>
  <c r="Q17" i="82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I14" i="82"/>
  <c r="H14" i="82"/>
  <c r="G14" i="82"/>
  <c r="F14" i="82"/>
  <c r="E14" i="82"/>
  <c r="D14" i="82"/>
  <c r="B14" i="82"/>
  <c r="I13" i="82"/>
  <c r="H13" i="82"/>
  <c r="G13" i="82"/>
  <c r="F13" i="82"/>
  <c r="E13" i="82"/>
  <c r="D13" i="82"/>
  <c r="Q13" i="82" s="1"/>
  <c r="B13" i="82"/>
  <c r="I12" i="82"/>
  <c r="H12" i="82"/>
  <c r="G12" i="82"/>
  <c r="F12" i="82"/>
  <c r="E12" i="82"/>
  <c r="D12" i="82"/>
  <c r="Q12" i="82" s="1"/>
  <c r="B12" i="82"/>
  <c r="I11" i="82"/>
  <c r="H11" i="82"/>
  <c r="G11" i="82"/>
  <c r="F11" i="82"/>
  <c r="E11" i="82"/>
  <c r="D11" i="82"/>
  <c r="B11" i="82"/>
  <c r="O10" i="82"/>
  <c r="O21" i="82" s="1"/>
  <c r="N10" i="82"/>
  <c r="N21" i="82" s="1"/>
  <c r="M10" i="82"/>
  <c r="M21" i="82" s="1"/>
  <c r="M22" i="82" s="1"/>
  <c r="L10" i="82"/>
  <c r="K10" i="82"/>
  <c r="K21" i="82" s="1"/>
  <c r="K22" i="82" s="1"/>
  <c r="J10" i="82"/>
  <c r="J21" i="82" s="1"/>
  <c r="H10" i="82"/>
  <c r="H21" i="82" s="1"/>
  <c r="G10" i="82"/>
  <c r="G21" i="82" s="1"/>
  <c r="F10" i="82"/>
  <c r="F21" i="82" s="1"/>
  <c r="E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8" i="81"/>
  <c r="L25" i="81"/>
  <c r="I23" i="81"/>
  <c r="H23" i="81"/>
  <c r="G23" i="81"/>
  <c r="F23" i="81"/>
  <c r="E23" i="81"/>
  <c r="D23" i="81"/>
  <c r="Q21" i="81"/>
  <c r="B21" i="81"/>
  <c r="O20" i="81"/>
  <c r="N20" i="81"/>
  <c r="M20" i="81"/>
  <c r="L20" i="81"/>
  <c r="K20" i="81"/>
  <c r="J20" i="81"/>
  <c r="I20" i="81"/>
  <c r="H20" i="81"/>
  <c r="G20" i="81"/>
  <c r="F20" i="81"/>
  <c r="E20" i="81"/>
  <c r="Q20" i="81" s="1"/>
  <c r="D20" i="81"/>
  <c r="B20" i="81"/>
  <c r="Q19" i="81"/>
  <c r="B19" i="81"/>
  <c r="O18" i="81"/>
  <c r="O17" i="81" s="1"/>
  <c r="N18" i="81"/>
  <c r="M18" i="81"/>
  <c r="M17" i="81" s="1"/>
  <c r="L18" i="81"/>
  <c r="K18" i="81"/>
  <c r="J18" i="81"/>
  <c r="J17" i="81" s="1"/>
  <c r="I18" i="81"/>
  <c r="H18" i="81"/>
  <c r="G18" i="81"/>
  <c r="G17" i="81" s="1"/>
  <c r="F18" i="81"/>
  <c r="E18" i="81"/>
  <c r="D18" i="81"/>
  <c r="B18" i="81"/>
  <c r="N17" i="81"/>
  <c r="L17" i="81"/>
  <c r="K17" i="81"/>
  <c r="I17" i="81"/>
  <c r="H17" i="81"/>
  <c r="F17" i="81"/>
  <c r="E17" i="81"/>
  <c r="D17" i="81"/>
  <c r="E15" i="81"/>
  <c r="O14" i="81"/>
  <c r="O15" i="81" s="1"/>
  <c r="M14" i="81"/>
  <c r="K14" i="81"/>
  <c r="E14" i="81"/>
  <c r="Q12" i="81"/>
  <c r="Q14" i="81" s="1"/>
  <c r="Q15" i="81" s="1"/>
  <c r="O12" i="81"/>
  <c r="N12" i="81"/>
  <c r="N14" i="81" s="1"/>
  <c r="M12" i="81"/>
  <c r="L12" i="81"/>
  <c r="K12" i="81"/>
  <c r="J12" i="81"/>
  <c r="J14" i="81" s="1"/>
  <c r="I12" i="81"/>
  <c r="H12" i="81"/>
  <c r="H14" i="81" s="1"/>
  <c r="G12" i="81"/>
  <c r="F12" i="81"/>
  <c r="F14" i="81" s="1"/>
  <c r="E12" i="81"/>
  <c r="D12" i="81"/>
  <c r="Q10" i="81"/>
  <c r="O10" i="81"/>
  <c r="N10" i="81"/>
  <c r="M10" i="81"/>
  <c r="L10" i="81"/>
  <c r="L14" i="81" s="1"/>
  <c r="L15" i="81" s="1"/>
  <c r="K10" i="81"/>
  <c r="J10" i="81"/>
  <c r="I10" i="81"/>
  <c r="I14" i="81" s="1"/>
  <c r="I15" i="81" s="1"/>
  <c r="H10" i="81"/>
  <c r="G10" i="81"/>
  <c r="G14" i="81" s="1"/>
  <c r="F10" i="81"/>
  <c r="E10" i="81"/>
  <c r="D10" i="81"/>
  <c r="D14" i="81" s="1"/>
  <c r="D15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I23" i="80"/>
  <c r="H23" i="80"/>
  <c r="G23" i="80"/>
  <c r="F23" i="80"/>
  <c r="E23" i="80"/>
  <c r="D23" i="80"/>
  <c r="Q23" i="80" s="1"/>
  <c r="Q21" i="80"/>
  <c r="B21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B20" i="80"/>
  <c r="Q19" i="80"/>
  <c r="B19" i="80"/>
  <c r="O18" i="80"/>
  <c r="N18" i="80"/>
  <c r="N17" i="80" s="1"/>
  <c r="M18" i="80"/>
  <c r="L18" i="80"/>
  <c r="K18" i="80"/>
  <c r="J18" i="80"/>
  <c r="I18" i="80"/>
  <c r="I17" i="80" s="1"/>
  <c r="H18" i="80"/>
  <c r="G18" i="80"/>
  <c r="F18" i="80"/>
  <c r="F17" i="80" s="1"/>
  <c r="E18" i="80"/>
  <c r="D18" i="80"/>
  <c r="B18" i="80"/>
  <c r="O17" i="80"/>
  <c r="M17" i="80"/>
  <c r="L17" i="80"/>
  <c r="J17" i="80"/>
  <c r="H17" i="80"/>
  <c r="G17" i="80"/>
  <c r="E17" i="80"/>
  <c r="D17" i="80"/>
  <c r="N15" i="80"/>
  <c r="O14" i="80"/>
  <c r="N14" i="80"/>
  <c r="N25" i="80" s="1"/>
  <c r="N30" i="80" s="1"/>
  <c r="N31" i="80" s="1"/>
  <c r="I14" i="80"/>
  <c r="G14" i="80"/>
  <c r="Q12" i="80"/>
  <c r="O12" i="80"/>
  <c r="N12" i="80"/>
  <c r="M12" i="80"/>
  <c r="L12" i="80"/>
  <c r="L14" i="80" s="1"/>
  <c r="K12" i="80"/>
  <c r="K14" i="80" s="1"/>
  <c r="K15" i="80" s="1"/>
  <c r="J12" i="80"/>
  <c r="I12" i="80"/>
  <c r="H12" i="80"/>
  <c r="G12" i="80"/>
  <c r="F12" i="80"/>
  <c r="F14" i="80" s="1"/>
  <c r="E12" i="80"/>
  <c r="D12" i="80"/>
  <c r="D14" i="80" s="1"/>
  <c r="Q10" i="80"/>
  <c r="Q14" i="80" s="1"/>
  <c r="O10" i="80"/>
  <c r="N10" i="80"/>
  <c r="M10" i="80"/>
  <c r="M14" i="80" s="1"/>
  <c r="M15" i="80" s="1"/>
  <c r="L10" i="80"/>
  <c r="K10" i="80"/>
  <c r="J10" i="80"/>
  <c r="J14" i="80" s="1"/>
  <c r="I10" i="80"/>
  <c r="H10" i="80"/>
  <c r="H14" i="80" s="1"/>
  <c r="H15" i="80" s="1"/>
  <c r="G10" i="80"/>
  <c r="F10" i="80"/>
  <c r="E10" i="80"/>
  <c r="E14" i="80" s="1"/>
  <c r="E15" i="80" s="1"/>
  <c r="D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I27" i="79"/>
  <c r="I25" i="79"/>
  <c r="H25" i="79"/>
  <c r="G25" i="79"/>
  <c r="F25" i="79"/>
  <c r="E25" i="79"/>
  <c r="D25" i="79"/>
  <c r="Q25" i="79" s="1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B20" i="79"/>
  <c r="Q19" i="79"/>
  <c r="B19" i="79"/>
  <c r="O18" i="79"/>
  <c r="N18" i="79"/>
  <c r="M18" i="79"/>
  <c r="L18" i="79"/>
  <c r="K18" i="79"/>
  <c r="K17" i="79" s="1"/>
  <c r="J18" i="79"/>
  <c r="I18" i="79"/>
  <c r="H18" i="79"/>
  <c r="G18" i="79"/>
  <c r="F18" i="79"/>
  <c r="E18" i="79"/>
  <c r="Q18" i="79" s="1"/>
  <c r="D18" i="79"/>
  <c r="B18" i="79"/>
  <c r="N17" i="79"/>
  <c r="M17" i="79"/>
  <c r="L17" i="79"/>
  <c r="I17" i="79"/>
  <c r="H17" i="79"/>
  <c r="F17" i="79"/>
  <c r="E17" i="79"/>
  <c r="D17" i="79"/>
  <c r="E15" i="79"/>
  <c r="O14" i="79"/>
  <c r="M14" i="79"/>
  <c r="K14" i="79"/>
  <c r="E14" i="79"/>
  <c r="E27" i="79" s="1"/>
  <c r="Q12" i="79"/>
  <c r="O12" i="79"/>
  <c r="N12" i="79"/>
  <c r="N14" i="79" s="1"/>
  <c r="M12" i="79"/>
  <c r="L12" i="79"/>
  <c r="K12" i="79"/>
  <c r="J12" i="79"/>
  <c r="J14" i="79" s="1"/>
  <c r="I12" i="79"/>
  <c r="H12" i="79"/>
  <c r="G12" i="79"/>
  <c r="F12" i="79"/>
  <c r="F14" i="79" s="1"/>
  <c r="E12" i="79"/>
  <c r="D12" i="79"/>
  <c r="Q10" i="79"/>
  <c r="O10" i="79"/>
  <c r="N10" i="79"/>
  <c r="M10" i="79"/>
  <c r="L10" i="79"/>
  <c r="L14" i="79" s="1"/>
  <c r="L15" i="79" s="1"/>
  <c r="K10" i="79"/>
  <c r="J10" i="79"/>
  <c r="I10" i="79"/>
  <c r="I14" i="79" s="1"/>
  <c r="I15" i="79" s="1"/>
  <c r="H10" i="79"/>
  <c r="G10" i="79"/>
  <c r="G14" i="79" s="1"/>
  <c r="G15" i="79" s="1"/>
  <c r="F10" i="79"/>
  <c r="E10" i="79"/>
  <c r="D10" i="79"/>
  <c r="D14" i="79" s="1"/>
  <c r="D15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6" i="78"/>
  <c r="M73" i="78"/>
  <c r="Q71" i="78"/>
  <c r="I71" i="78"/>
  <c r="H71" i="78"/>
  <c r="G71" i="78"/>
  <c r="F71" i="78"/>
  <c r="E71" i="78"/>
  <c r="D71" i="78"/>
  <c r="Q69" i="78"/>
  <c r="B69" i="78"/>
  <c r="O68" i="78"/>
  <c r="N68" i="78"/>
  <c r="M68" i="78"/>
  <c r="L68" i="78"/>
  <c r="K68" i="78"/>
  <c r="J68" i="78"/>
  <c r="I68" i="78"/>
  <c r="H68" i="78"/>
  <c r="Q68" i="78" s="1"/>
  <c r="G68" i="78"/>
  <c r="F68" i="78"/>
  <c r="E68" i="78"/>
  <c r="D68" i="78"/>
  <c r="B68" i="78"/>
  <c r="Q67" i="78"/>
  <c r="B67" i="78"/>
  <c r="O66" i="78"/>
  <c r="N66" i="78"/>
  <c r="M66" i="78"/>
  <c r="L66" i="78"/>
  <c r="K66" i="78"/>
  <c r="J66" i="78"/>
  <c r="I66" i="78"/>
  <c r="H66" i="78"/>
  <c r="Q66" i="78" s="1"/>
  <c r="G66" i="78"/>
  <c r="F66" i="78"/>
  <c r="E66" i="78"/>
  <c r="D66" i="78"/>
  <c r="B66" i="78"/>
  <c r="Q65" i="78"/>
  <c r="B65" i="78"/>
  <c r="O64" i="78"/>
  <c r="N64" i="78"/>
  <c r="M64" i="78"/>
  <c r="L64" i="78"/>
  <c r="K64" i="78"/>
  <c r="J64" i="78"/>
  <c r="I64" i="78"/>
  <c r="H64" i="78"/>
  <c r="Q64" i="78" s="1"/>
  <c r="G64" i="78"/>
  <c r="F64" i="78"/>
  <c r="E64" i="78"/>
  <c r="D64" i="78"/>
  <c r="B64" i="78"/>
  <c r="Q63" i="78"/>
  <c r="B63" i="78"/>
  <c r="O62" i="78"/>
  <c r="N62" i="78"/>
  <c r="M62" i="78"/>
  <c r="L62" i="78"/>
  <c r="K62" i="78"/>
  <c r="J62" i="78"/>
  <c r="I62" i="78"/>
  <c r="H62" i="78"/>
  <c r="Q62" i="78" s="1"/>
  <c r="G62" i="78"/>
  <c r="F62" i="78"/>
  <c r="E62" i="78"/>
  <c r="D62" i="78"/>
  <c r="B62" i="78"/>
  <c r="Q61" i="78"/>
  <c r="B61" i="78"/>
  <c r="O60" i="78"/>
  <c r="N60" i="78"/>
  <c r="M60" i="78"/>
  <c r="L60" i="78"/>
  <c r="K60" i="78"/>
  <c r="J60" i="78"/>
  <c r="I60" i="78"/>
  <c r="H60" i="78"/>
  <c r="Q60" i="78" s="1"/>
  <c r="G60" i="78"/>
  <c r="F60" i="78"/>
  <c r="E60" i="78"/>
  <c r="D60" i="78"/>
  <c r="B60" i="78"/>
  <c r="Q59" i="78"/>
  <c r="B59" i="78"/>
  <c r="Q58" i="78"/>
  <c r="B58" i="78"/>
  <c r="O57" i="78"/>
  <c r="N57" i="78"/>
  <c r="M57" i="78"/>
  <c r="L57" i="78"/>
  <c r="K57" i="78"/>
  <c r="J57" i="78"/>
  <c r="I57" i="78"/>
  <c r="H57" i="78"/>
  <c r="G57" i="78"/>
  <c r="F57" i="78"/>
  <c r="E57" i="78"/>
  <c r="D57" i="78"/>
  <c r="B57" i="78"/>
  <c r="Q56" i="78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G52" i="78"/>
  <c r="F52" i="78"/>
  <c r="E52" i="78"/>
  <c r="D52" i="78"/>
  <c r="B52" i="78"/>
  <c r="Q51" i="78"/>
  <c r="B51" i="78"/>
  <c r="O50" i="78"/>
  <c r="N50" i="78"/>
  <c r="M50" i="78"/>
  <c r="L50" i="78"/>
  <c r="K50" i="78"/>
  <c r="J50" i="78"/>
  <c r="I50" i="78"/>
  <c r="H50" i="78"/>
  <c r="Q50" i="78" s="1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B46" i="78"/>
  <c r="Q45" i="78"/>
  <c r="B45" i="78"/>
  <c r="O44" i="78"/>
  <c r="N44" i="78"/>
  <c r="M44" i="78"/>
  <c r="L44" i="78"/>
  <c r="K44" i="78"/>
  <c r="J44" i="78"/>
  <c r="I44" i="78"/>
  <c r="H44" i="78"/>
  <c r="Q44" i="78" s="1"/>
  <c r="G44" i="78"/>
  <c r="F44" i="78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J17" i="78" s="1"/>
  <c r="I41" i="78"/>
  <c r="H41" i="78"/>
  <c r="G41" i="78"/>
  <c r="F41" i="78"/>
  <c r="E41" i="78"/>
  <c r="D41" i="78"/>
  <c r="B41" i="78"/>
  <c r="Q40" i="78"/>
  <c r="B40" i="78"/>
  <c r="O39" i="78"/>
  <c r="N39" i="78"/>
  <c r="M39" i="78"/>
  <c r="L39" i="78"/>
  <c r="K39" i="78"/>
  <c r="J39" i="78"/>
  <c r="I39" i="78"/>
  <c r="H39" i="78"/>
  <c r="G39" i="78"/>
  <c r="F39" i="78"/>
  <c r="E39" i="78"/>
  <c r="D39" i="78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Q28" i="78" s="1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N18" i="78"/>
  <c r="N17" i="78" s="1"/>
  <c r="M18" i="78"/>
  <c r="M17" i="78" s="1"/>
  <c r="L18" i="78"/>
  <c r="K18" i="78"/>
  <c r="J18" i="78"/>
  <c r="I18" i="78"/>
  <c r="H18" i="78"/>
  <c r="H17" i="78" s="1"/>
  <c r="G18" i="78"/>
  <c r="F18" i="78"/>
  <c r="F17" i="78" s="1"/>
  <c r="E18" i="78"/>
  <c r="E17" i="78" s="1"/>
  <c r="D18" i="78"/>
  <c r="B18" i="78"/>
  <c r="O17" i="78"/>
  <c r="K17" i="78"/>
  <c r="G17" i="78"/>
  <c r="G15" i="78"/>
  <c r="M14" i="78"/>
  <c r="M15" i="78" s="1"/>
  <c r="L14" i="78"/>
  <c r="E14" i="78"/>
  <c r="D14" i="78"/>
  <c r="Q12" i="78"/>
  <c r="O12" i="78"/>
  <c r="N12" i="78"/>
  <c r="M12" i="78"/>
  <c r="L12" i="78"/>
  <c r="K12" i="78"/>
  <c r="J12" i="78"/>
  <c r="I12" i="78"/>
  <c r="I14" i="78" s="1"/>
  <c r="H12" i="78"/>
  <c r="G12" i="78"/>
  <c r="F12" i="78"/>
  <c r="E12" i="78"/>
  <c r="D12" i="78"/>
  <c r="Q10" i="78"/>
  <c r="Q14" i="78" s="1"/>
  <c r="O10" i="78"/>
  <c r="O14" i="78" s="1"/>
  <c r="O15" i="78" s="1"/>
  <c r="N10" i="78"/>
  <c r="N14" i="78" s="1"/>
  <c r="M10" i="78"/>
  <c r="L10" i="78"/>
  <c r="K10" i="78"/>
  <c r="K14" i="78" s="1"/>
  <c r="J10" i="78"/>
  <c r="J14" i="78" s="1"/>
  <c r="I10" i="78"/>
  <c r="H10" i="78"/>
  <c r="H14" i="78" s="1"/>
  <c r="G10" i="78"/>
  <c r="G14" i="78" s="1"/>
  <c r="G73" i="78" s="1"/>
  <c r="F10" i="78"/>
  <c r="F14" i="78" s="1"/>
  <c r="E10" i="78"/>
  <c r="D10" i="78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6" i="77"/>
  <c r="Q21" i="77"/>
  <c r="I21" i="77"/>
  <c r="H21" i="77"/>
  <c r="G21" i="77"/>
  <c r="F21" i="77"/>
  <c r="E21" i="77"/>
  <c r="D21" i="77"/>
  <c r="Q19" i="77"/>
  <c r="B19" i="77"/>
  <c r="O18" i="77"/>
  <c r="N18" i="77"/>
  <c r="M18" i="77"/>
  <c r="M17" i="77" s="1"/>
  <c r="L18" i="77"/>
  <c r="L17" i="77" s="1"/>
  <c r="K18" i="77"/>
  <c r="J18" i="77"/>
  <c r="J17" i="77" s="1"/>
  <c r="I18" i="77"/>
  <c r="I17" i="77" s="1"/>
  <c r="H18" i="77"/>
  <c r="H17" i="77" s="1"/>
  <c r="G18" i="77"/>
  <c r="F18" i="77"/>
  <c r="E18" i="77"/>
  <c r="E17" i="77" s="1"/>
  <c r="D18" i="77"/>
  <c r="D17" i="77" s="1"/>
  <c r="B18" i="77"/>
  <c r="O17" i="77"/>
  <c r="N17" i="77"/>
  <c r="K17" i="77"/>
  <c r="G17" i="77"/>
  <c r="F17" i="77"/>
  <c r="K15" i="77"/>
  <c r="Q14" i="77"/>
  <c r="I14" i="77"/>
  <c r="H14" i="77"/>
  <c r="Q12" i="77"/>
  <c r="O12" i="77"/>
  <c r="N12" i="77"/>
  <c r="M12" i="77"/>
  <c r="M14" i="77" s="1"/>
  <c r="L12" i="77"/>
  <c r="K12" i="77"/>
  <c r="J12" i="77"/>
  <c r="I12" i="77"/>
  <c r="H12" i="77"/>
  <c r="G12" i="77"/>
  <c r="F12" i="77"/>
  <c r="E12" i="77"/>
  <c r="E14" i="77" s="1"/>
  <c r="D12" i="77"/>
  <c r="Q10" i="77"/>
  <c r="O10" i="77"/>
  <c r="O14" i="77" s="1"/>
  <c r="N10" i="77"/>
  <c r="N14" i="77" s="1"/>
  <c r="M10" i="77"/>
  <c r="L10" i="77"/>
  <c r="L14" i="77" s="1"/>
  <c r="L23" i="77" s="1"/>
  <c r="K10" i="77"/>
  <c r="K14" i="77" s="1"/>
  <c r="K23" i="77" s="1"/>
  <c r="J10" i="77"/>
  <c r="J14" i="77" s="1"/>
  <c r="J15" i="77" s="1"/>
  <c r="I10" i="77"/>
  <c r="H10" i="77"/>
  <c r="G10" i="77"/>
  <c r="G14" i="77" s="1"/>
  <c r="F10" i="77"/>
  <c r="F14" i="77" s="1"/>
  <c r="E10" i="77"/>
  <c r="D10" i="77"/>
  <c r="D14" i="77" s="1"/>
  <c r="D23" i="77" s="1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3" i="76"/>
  <c r="I88" i="76"/>
  <c r="H88" i="76"/>
  <c r="G88" i="76"/>
  <c r="F88" i="76"/>
  <c r="E88" i="76"/>
  <c r="D88" i="76"/>
  <c r="Q86" i="76"/>
  <c r="B86" i="76"/>
  <c r="O85" i="76"/>
  <c r="N85" i="76"/>
  <c r="M85" i="76"/>
  <c r="L85" i="76"/>
  <c r="K85" i="76"/>
  <c r="J85" i="76"/>
  <c r="I85" i="76"/>
  <c r="H85" i="76"/>
  <c r="G85" i="76"/>
  <c r="F85" i="76"/>
  <c r="E85" i="76"/>
  <c r="D85" i="76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Q83" i="76" s="1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B81" i="76"/>
  <c r="Q80" i="76"/>
  <c r="B80" i="76"/>
  <c r="O79" i="76"/>
  <c r="N79" i="76"/>
  <c r="M79" i="76"/>
  <c r="L79" i="76"/>
  <c r="K79" i="76"/>
  <c r="J79" i="76"/>
  <c r="I79" i="76"/>
  <c r="H79" i="76"/>
  <c r="G79" i="76"/>
  <c r="F79" i="76"/>
  <c r="E79" i="76"/>
  <c r="D79" i="76"/>
  <c r="Q79" i="76" s="1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Q70" i="76" s="1"/>
  <c r="B70" i="76"/>
  <c r="Q69" i="76"/>
  <c r="B69" i="76"/>
  <c r="O68" i="76"/>
  <c r="N68" i="76"/>
  <c r="M68" i="76"/>
  <c r="L68" i="76"/>
  <c r="K68" i="76"/>
  <c r="J68" i="76"/>
  <c r="I68" i="76"/>
  <c r="H68" i="76"/>
  <c r="G68" i="76"/>
  <c r="F68" i="76"/>
  <c r="E68" i="76"/>
  <c r="D68" i="76"/>
  <c r="B68" i="76"/>
  <c r="Q67" i="76"/>
  <c r="B67" i="76"/>
  <c r="Q66" i="76"/>
  <c r="B66" i="76"/>
  <c r="Q65" i="76"/>
  <c r="B65" i="76"/>
  <c r="O64" i="76"/>
  <c r="O24" i="76" s="1"/>
  <c r="N64" i="76"/>
  <c r="M64" i="76"/>
  <c r="L64" i="76"/>
  <c r="K64" i="76"/>
  <c r="J64" i="76"/>
  <c r="I64" i="76"/>
  <c r="H64" i="76"/>
  <c r="G64" i="76"/>
  <c r="G24" i="76" s="1"/>
  <c r="F64" i="76"/>
  <c r="Q64" i="76" s="1"/>
  <c r="E64" i="76"/>
  <c r="D64" i="76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Q61" i="76" s="1"/>
  <c r="G61" i="76"/>
  <c r="F61" i="76"/>
  <c r="E61" i="76"/>
  <c r="D61" i="76"/>
  <c r="B61" i="76"/>
  <c r="Q60" i="76"/>
  <c r="B60" i="76"/>
  <c r="O59" i="76"/>
  <c r="N59" i="76"/>
  <c r="M59" i="76"/>
  <c r="L59" i="76"/>
  <c r="K59" i="76"/>
  <c r="J59" i="76"/>
  <c r="I59" i="76"/>
  <c r="H59" i="76"/>
  <c r="Q59" i="76" s="1"/>
  <c r="G59" i="76"/>
  <c r="F59" i="76"/>
  <c r="E59" i="76"/>
  <c r="D59" i="76"/>
  <c r="B59" i="76"/>
  <c r="Q58" i="76"/>
  <c r="B58" i="76"/>
  <c r="O57" i="76"/>
  <c r="N57" i="76"/>
  <c r="M57" i="76"/>
  <c r="L57" i="76"/>
  <c r="K57" i="76"/>
  <c r="J57" i="76"/>
  <c r="I57" i="76"/>
  <c r="H57" i="76"/>
  <c r="Q57" i="76" s="1"/>
  <c r="G57" i="76"/>
  <c r="F57" i="76"/>
  <c r="E57" i="76"/>
  <c r="D57" i="76"/>
  <c r="B57" i="76"/>
  <c r="Q56" i="76"/>
  <c r="B56" i="76"/>
  <c r="O55" i="76"/>
  <c r="N55" i="76"/>
  <c r="M55" i="76"/>
  <c r="L55" i="76"/>
  <c r="K55" i="76"/>
  <c r="J55" i="76"/>
  <c r="I55" i="76"/>
  <c r="I24" i="76" s="1"/>
  <c r="H55" i="76"/>
  <c r="H24" i="76" s="1"/>
  <c r="G55" i="76"/>
  <c r="F55" i="76"/>
  <c r="E55" i="76"/>
  <c r="D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J24" i="76" s="1"/>
  <c r="I50" i="76"/>
  <c r="H50" i="76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Q48" i="76" s="1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D46" i="76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Q35" i="76" s="1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N25" i="76"/>
  <c r="N24" i="76" s="1"/>
  <c r="M25" i="76"/>
  <c r="M24" i="76" s="1"/>
  <c r="L25" i="76"/>
  <c r="K25" i="76"/>
  <c r="J25" i="76"/>
  <c r="I25" i="76"/>
  <c r="H25" i="76"/>
  <c r="G25" i="76"/>
  <c r="F25" i="76"/>
  <c r="F24" i="76" s="1"/>
  <c r="E25" i="76"/>
  <c r="E24" i="76" s="1"/>
  <c r="D25" i="76"/>
  <c r="B25" i="76"/>
  <c r="M21" i="76"/>
  <c r="L21" i="76"/>
  <c r="E21" i="76"/>
  <c r="D21" i="76"/>
  <c r="Q19" i="76"/>
  <c r="B19" i="76"/>
  <c r="Q18" i="76"/>
  <c r="B18" i="76"/>
  <c r="Q17" i="76"/>
  <c r="B17" i="76"/>
  <c r="Q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I14" i="76"/>
  <c r="H14" i="76"/>
  <c r="H10" i="76" s="1"/>
  <c r="H21" i="76" s="1"/>
  <c r="G14" i="76"/>
  <c r="F14" i="76"/>
  <c r="E14" i="76"/>
  <c r="D14" i="76"/>
  <c r="B14" i="76"/>
  <c r="I13" i="76"/>
  <c r="H13" i="76"/>
  <c r="G13" i="76"/>
  <c r="F13" i="76"/>
  <c r="E13" i="76"/>
  <c r="D13" i="76"/>
  <c r="B13" i="76"/>
  <c r="I12" i="76"/>
  <c r="H12" i="76"/>
  <c r="G12" i="76"/>
  <c r="F12" i="76"/>
  <c r="E12" i="76"/>
  <c r="D12" i="76"/>
  <c r="B12" i="76"/>
  <c r="I11" i="76"/>
  <c r="H11" i="76"/>
  <c r="G11" i="76"/>
  <c r="F11" i="76"/>
  <c r="E11" i="76"/>
  <c r="D11" i="76"/>
  <c r="B11" i="76"/>
  <c r="O10" i="76"/>
  <c r="N10" i="76"/>
  <c r="N21" i="76" s="1"/>
  <c r="N22" i="76" s="1"/>
  <c r="M10" i="76"/>
  <c r="L10" i="76"/>
  <c r="K10" i="76"/>
  <c r="K21" i="76" s="1"/>
  <c r="J10" i="76"/>
  <c r="J21" i="76" s="1"/>
  <c r="I10" i="76"/>
  <c r="I21" i="76" s="1"/>
  <c r="E10" i="76"/>
  <c r="D10" i="76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2" i="75"/>
  <c r="M29" i="75"/>
  <c r="I27" i="75"/>
  <c r="H27" i="75"/>
  <c r="G27" i="75"/>
  <c r="F27" i="75"/>
  <c r="E27" i="75"/>
  <c r="D27" i="75"/>
  <c r="Q27" i="75" s="1"/>
  <c r="Q25" i="75"/>
  <c r="B25" i="75"/>
  <c r="O24" i="75"/>
  <c r="N24" i="75"/>
  <c r="M24" i="75"/>
  <c r="L24" i="75"/>
  <c r="K24" i="75"/>
  <c r="K23" i="75" s="1"/>
  <c r="J24" i="75"/>
  <c r="J23" i="75" s="1"/>
  <c r="I24" i="75"/>
  <c r="I23" i="75" s="1"/>
  <c r="H24" i="75"/>
  <c r="G24" i="75"/>
  <c r="F24" i="75"/>
  <c r="E24" i="75"/>
  <c r="D24" i="75"/>
  <c r="B24" i="75"/>
  <c r="O23" i="75"/>
  <c r="N23" i="75"/>
  <c r="M23" i="75"/>
  <c r="L23" i="75"/>
  <c r="G23" i="75"/>
  <c r="F23" i="75"/>
  <c r="E23" i="75"/>
  <c r="D23" i="75"/>
  <c r="K20" i="75"/>
  <c r="K21" i="75" s="1"/>
  <c r="I20" i="75"/>
  <c r="Q18" i="75"/>
  <c r="B18" i="75"/>
  <c r="Q17" i="75"/>
  <c r="B17" i="75"/>
  <c r="Q16" i="75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I13" i="75"/>
  <c r="H13" i="75"/>
  <c r="G13" i="75"/>
  <c r="F13" i="75"/>
  <c r="E13" i="75"/>
  <c r="Q13" i="75" s="1"/>
  <c r="D13" i="75"/>
  <c r="B13" i="75"/>
  <c r="I12" i="75"/>
  <c r="H12" i="75"/>
  <c r="G12" i="75"/>
  <c r="F12" i="75"/>
  <c r="E12" i="75"/>
  <c r="Q12" i="75" s="1"/>
  <c r="D12" i="75"/>
  <c r="B12" i="75"/>
  <c r="I11" i="75"/>
  <c r="H11" i="75"/>
  <c r="G11" i="75"/>
  <c r="F11" i="75"/>
  <c r="E11" i="75"/>
  <c r="D11" i="75"/>
  <c r="D10" i="75" s="1"/>
  <c r="D20" i="75" s="1"/>
  <c r="D29" i="75" s="1"/>
  <c r="B11" i="75"/>
  <c r="O10" i="75"/>
  <c r="O20" i="75" s="1"/>
  <c r="N10" i="75"/>
  <c r="M10" i="75"/>
  <c r="M20" i="75" s="1"/>
  <c r="M21" i="75" s="1"/>
  <c r="L10" i="75"/>
  <c r="L20" i="75" s="1"/>
  <c r="L29" i="75" s="1"/>
  <c r="K10" i="75"/>
  <c r="J10" i="75"/>
  <c r="J20" i="75" s="1"/>
  <c r="I10" i="75"/>
  <c r="H10" i="75"/>
  <c r="H20" i="75" s="1"/>
  <c r="G10" i="75"/>
  <c r="G20" i="75" s="1"/>
  <c r="F10" i="75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1" i="74"/>
  <c r="O88" i="74"/>
  <c r="M88" i="74"/>
  <c r="I86" i="74"/>
  <c r="H86" i="74"/>
  <c r="G86" i="74"/>
  <c r="F86" i="74"/>
  <c r="E86" i="74"/>
  <c r="D86" i="74"/>
  <c r="Q86" i="74" s="1"/>
  <c r="Q84" i="74"/>
  <c r="B84" i="74"/>
  <c r="O83" i="74"/>
  <c r="N83" i="74"/>
  <c r="M83" i="74"/>
  <c r="L83" i="74"/>
  <c r="K83" i="74"/>
  <c r="J83" i="74"/>
  <c r="I83" i="74"/>
  <c r="H83" i="74"/>
  <c r="G83" i="74"/>
  <c r="F83" i="74"/>
  <c r="E83" i="74"/>
  <c r="D83" i="74"/>
  <c r="B83" i="74"/>
  <c r="Q82" i="74"/>
  <c r="B82" i="74"/>
  <c r="Q81" i="74"/>
  <c r="B81" i="74"/>
  <c r="O80" i="74"/>
  <c r="N80" i="74"/>
  <c r="M80" i="74"/>
  <c r="L80" i="74"/>
  <c r="K80" i="74"/>
  <c r="J80" i="74"/>
  <c r="I80" i="74"/>
  <c r="H80" i="74"/>
  <c r="G80" i="74"/>
  <c r="F80" i="74"/>
  <c r="E80" i="74"/>
  <c r="D80" i="74"/>
  <c r="Q80" i="74" s="1"/>
  <c r="B80" i="74"/>
  <c r="Q79" i="74"/>
  <c r="B79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B78" i="74"/>
  <c r="Q77" i="74"/>
  <c r="B77" i="74"/>
  <c r="Q76" i="74"/>
  <c r="B76" i="74"/>
  <c r="Q75" i="74"/>
  <c r="B75" i="74"/>
  <c r="O74" i="74"/>
  <c r="N74" i="74"/>
  <c r="M74" i="74"/>
  <c r="L74" i="74"/>
  <c r="K74" i="74"/>
  <c r="J74" i="74"/>
  <c r="I74" i="74"/>
  <c r="H74" i="74"/>
  <c r="G74" i="74"/>
  <c r="F74" i="74"/>
  <c r="E74" i="74"/>
  <c r="D74" i="74"/>
  <c r="B74" i="74"/>
  <c r="Q73" i="74"/>
  <c r="B73" i="74"/>
  <c r="Q72" i="74"/>
  <c r="B72" i="74"/>
  <c r="O71" i="74"/>
  <c r="N71" i="74"/>
  <c r="M71" i="74"/>
  <c r="L71" i="74"/>
  <c r="K71" i="74"/>
  <c r="J71" i="74"/>
  <c r="I71" i="74"/>
  <c r="H71" i="74"/>
  <c r="G71" i="74"/>
  <c r="F71" i="74"/>
  <c r="E71" i="74"/>
  <c r="D71" i="74"/>
  <c r="Q71" i="74" s="1"/>
  <c r="B71" i="74"/>
  <c r="Q70" i="74"/>
  <c r="B70" i="74"/>
  <c r="Q69" i="74"/>
  <c r="B69" i="74"/>
  <c r="O68" i="74"/>
  <c r="N68" i="74"/>
  <c r="M68" i="74"/>
  <c r="M25" i="74" s="1"/>
  <c r="L68" i="74"/>
  <c r="K68" i="74"/>
  <c r="J68" i="74"/>
  <c r="I68" i="74"/>
  <c r="H68" i="74"/>
  <c r="G68" i="74"/>
  <c r="F68" i="74"/>
  <c r="E68" i="74"/>
  <c r="E25" i="74" s="1"/>
  <c r="D68" i="74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G65" i="74"/>
  <c r="F65" i="74"/>
  <c r="E65" i="74"/>
  <c r="D65" i="74"/>
  <c r="B65" i="74"/>
  <c r="Q64" i="74"/>
  <c r="B64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B63" i="74"/>
  <c r="Q62" i="74"/>
  <c r="B62" i="74"/>
  <c r="O61" i="74"/>
  <c r="N61" i="74"/>
  <c r="M61" i="74"/>
  <c r="L61" i="74"/>
  <c r="K61" i="74"/>
  <c r="J61" i="74"/>
  <c r="I61" i="74"/>
  <c r="H61" i="74"/>
  <c r="G61" i="74"/>
  <c r="F61" i="74"/>
  <c r="E61" i="74"/>
  <c r="D61" i="74"/>
  <c r="B61" i="74"/>
  <c r="Q60" i="74"/>
  <c r="B60" i="74"/>
  <c r="O59" i="74"/>
  <c r="N59" i="74"/>
  <c r="M59" i="74"/>
  <c r="L59" i="74"/>
  <c r="K59" i="74"/>
  <c r="J59" i="74"/>
  <c r="I59" i="74"/>
  <c r="H59" i="74"/>
  <c r="G59" i="74"/>
  <c r="F59" i="74"/>
  <c r="Q59" i="74" s="1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G53" i="74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B49" i="74"/>
  <c r="Q48" i="74"/>
  <c r="B48" i="74"/>
  <c r="O47" i="74"/>
  <c r="O25" i="74" s="1"/>
  <c r="N47" i="74"/>
  <c r="M47" i="74"/>
  <c r="L47" i="74"/>
  <c r="K47" i="74"/>
  <c r="J47" i="74"/>
  <c r="I47" i="74"/>
  <c r="H47" i="74"/>
  <c r="G47" i="74"/>
  <c r="G25" i="74" s="1"/>
  <c r="F47" i="74"/>
  <c r="E47" i="74"/>
  <c r="D47" i="74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Q36" i="74" s="1"/>
  <c r="G36" i="74"/>
  <c r="F36" i="74"/>
  <c r="E36" i="74"/>
  <c r="D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N26" i="74"/>
  <c r="M26" i="74"/>
  <c r="L26" i="74"/>
  <c r="K26" i="74"/>
  <c r="J26" i="74"/>
  <c r="I26" i="74"/>
  <c r="H26" i="74"/>
  <c r="Q26" i="74" s="1"/>
  <c r="G26" i="74"/>
  <c r="F26" i="74"/>
  <c r="E26" i="74"/>
  <c r="D26" i="74"/>
  <c r="B26" i="74"/>
  <c r="N25" i="74"/>
  <c r="L25" i="74"/>
  <c r="J25" i="74"/>
  <c r="F25" i="74"/>
  <c r="D25" i="74"/>
  <c r="I22" i="74"/>
  <c r="Q20" i="74"/>
  <c r="B20" i="74"/>
  <c r="Q19" i="74"/>
  <c r="Q16" i="74" s="1"/>
  <c r="B19" i="74"/>
  <c r="Q18" i="74"/>
  <c r="B18" i="74"/>
  <c r="Q17" i="74"/>
  <c r="B17" i="74"/>
  <c r="O16" i="74"/>
  <c r="N16" i="74"/>
  <c r="M16" i="74"/>
  <c r="L16" i="74"/>
  <c r="K16" i="74"/>
  <c r="J16" i="74"/>
  <c r="I16" i="74"/>
  <c r="H16" i="74"/>
  <c r="H22" i="74" s="1"/>
  <c r="G16" i="74"/>
  <c r="F16" i="74"/>
  <c r="E16" i="74"/>
  <c r="D16" i="74"/>
  <c r="I14" i="74"/>
  <c r="H14" i="74"/>
  <c r="G14" i="74"/>
  <c r="F14" i="74"/>
  <c r="E14" i="74"/>
  <c r="D14" i="74"/>
  <c r="B14" i="74"/>
  <c r="I13" i="74"/>
  <c r="H13" i="74"/>
  <c r="G13" i="74"/>
  <c r="F13" i="74"/>
  <c r="E13" i="74"/>
  <c r="D13" i="74"/>
  <c r="B13" i="74"/>
  <c r="I12" i="74"/>
  <c r="H12" i="74"/>
  <c r="G12" i="74"/>
  <c r="F12" i="74"/>
  <c r="E12" i="74"/>
  <c r="E10" i="74" s="1"/>
  <c r="E22" i="74" s="1"/>
  <c r="D12" i="74"/>
  <c r="B12" i="74"/>
  <c r="I11" i="74"/>
  <c r="H11" i="74"/>
  <c r="G11" i="74"/>
  <c r="F11" i="74"/>
  <c r="E11" i="74"/>
  <c r="D11" i="74"/>
  <c r="B11" i="74"/>
  <c r="O10" i="74"/>
  <c r="O22" i="74" s="1"/>
  <c r="O23" i="74" s="1"/>
  <c r="N10" i="74"/>
  <c r="N22" i="74" s="1"/>
  <c r="N88" i="74" s="1"/>
  <c r="M10" i="74"/>
  <c r="M22" i="74" s="1"/>
  <c r="M23" i="74" s="1"/>
  <c r="L10" i="74"/>
  <c r="L22" i="74" s="1"/>
  <c r="K10" i="74"/>
  <c r="K22" i="74" s="1"/>
  <c r="J10" i="74"/>
  <c r="J22" i="74" s="1"/>
  <c r="I10" i="74"/>
  <c r="H10" i="74"/>
  <c r="F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7" i="73"/>
  <c r="I82" i="73"/>
  <c r="H82" i="73"/>
  <c r="G82" i="73"/>
  <c r="F82" i="73"/>
  <c r="E82" i="73"/>
  <c r="D82" i="73"/>
  <c r="Q82" i="73" s="1"/>
  <c r="Q80" i="73"/>
  <c r="B80" i="73"/>
  <c r="O79" i="73"/>
  <c r="N79" i="73"/>
  <c r="M79" i="73"/>
  <c r="L79" i="73"/>
  <c r="K79" i="73"/>
  <c r="J79" i="73"/>
  <c r="I79" i="73"/>
  <c r="H79" i="73"/>
  <c r="G79" i="73"/>
  <c r="F79" i="73"/>
  <c r="E79" i="73"/>
  <c r="D79" i="73"/>
  <c r="B79" i="73"/>
  <c r="Q78" i="73"/>
  <c r="B78" i="73"/>
  <c r="Q77" i="73"/>
  <c r="B77" i="73"/>
  <c r="O76" i="73"/>
  <c r="N76" i="73"/>
  <c r="M76" i="73"/>
  <c r="L76" i="73"/>
  <c r="K76" i="73"/>
  <c r="J76" i="73"/>
  <c r="I76" i="73"/>
  <c r="I22" i="73" s="1"/>
  <c r="H76" i="73"/>
  <c r="G76" i="73"/>
  <c r="F76" i="73"/>
  <c r="E76" i="73"/>
  <c r="D76" i="73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B70" i="73"/>
  <c r="Q69" i="73"/>
  <c r="B69" i="73"/>
  <c r="Q68" i="73"/>
  <c r="B68" i="73"/>
  <c r="Q67" i="73"/>
  <c r="B67" i="73"/>
  <c r="O66" i="73"/>
  <c r="N66" i="73"/>
  <c r="M66" i="73"/>
  <c r="L66" i="73"/>
  <c r="K66" i="73"/>
  <c r="J66" i="73"/>
  <c r="I66" i="73"/>
  <c r="H66" i="73"/>
  <c r="G66" i="73"/>
  <c r="F66" i="73"/>
  <c r="E66" i="73"/>
  <c r="D66" i="73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Q63" i="73" s="1"/>
  <c r="B63" i="73"/>
  <c r="Q62" i="73"/>
  <c r="B62" i="73"/>
  <c r="O61" i="73"/>
  <c r="N61" i="73"/>
  <c r="M61" i="73"/>
  <c r="L61" i="73"/>
  <c r="K61" i="73"/>
  <c r="J61" i="73"/>
  <c r="I61" i="73"/>
  <c r="H61" i="73"/>
  <c r="G61" i="73"/>
  <c r="F61" i="73"/>
  <c r="E61" i="73"/>
  <c r="D61" i="73"/>
  <c r="B61" i="73"/>
  <c r="Q60" i="73"/>
  <c r="B60" i="73"/>
  <c r="O59" i="73"/>
  <c r="N59" i="73"/>
  <c r="M59" i="73"/>
  <c r="L59" i="73"/>
  <c r="K59" i="73"/>
  <c r="J59" i="73"/>
  <c r="I59" i="73"/>
  <c r="H59" i="73"/>
  <c r="G59" i="73"/>
  <c r="F59" i="73"/>
  <c r="E59" i="73"/>
  <c r="D59" i="73"/>
  <c r="B59" i="73"/>
  <c r="Q58" i="73"/>
  <c r="B58" i="73"/>
  <c r="O57" i="73"/>
  <c r="N57" i="73"/>
  <c r="M57" i="73"/>
  <c r="L57" i="73"/>
  <c r="K57" i="73"/>
  <c r="J57" i="73"/>
  <c r="I57" i="73"/>
  <c r="H57" i="73"/>
  <c r="G57" i="73"/>
  <c r="F57" i="73"/>
  <c r="E57" i="73"/>
  <c r="D57" i="73"/>
  <c r="B57" i="73"/>
  <c r="Q56" i="73"/>
  <c r="B56" i="73"/>
  <c r="O55" i="73"/>
  <c r="N55" i="73"/>
  <c r="M55" i="73"/>
  <c r="L55" i="73"/>
  <c r="K55" i="73"/>
  <c r="J55" i="73"/>
  <c r="I55" i="73"/>
  <c r="H55" i="73"/>
  <c r="G55" i="73"/>
  <c r="F55" i="73"/>
  <c r="E55" i="73"/>
  <c r="D55" i="73"/>
  <c r="B55" i="73"/>
  <c r="Q54" i="73"/>
  <c r="B54" i="73"/>
  <c r="O53" i="73"/>
  <c r="N53" i="73"/>
  <c r="M53" i="73"/>
  <c r="L53" i="73"/>
  <c r="L22" i="73" s="1"/>
  <c r="K53" i="73"/>
  <c r="J53" i="73"/>
  <c r="I53" i="73"/>
  <c r="H53" i="73"/>
  <c r="G53" i="73"/>
  <c r="F53" i="73"/>
  <c r="E53" i="73"/>
  <c r="D53" i="73"/>
  <c r="D22" i="73" s="1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B50" i="73"/>
  <c r="Q49" i="73"/>
  <c r="B49" i="73"/>
  <c r="O48" i="73"/>
  <c r="N48" i="73"/>
  <c r="M48" i="73"/>
  <c r="L48" i="73"/>
  <c r="K48" i="73"/>
  <c r="J48" i="73"/>
  <c r="I48" i="73"/>
  <c r="H48" i="73"/>
  <c r="G48" i="73"/>
  <c r="G22" i="73" s="1"/>
  <c r="G84" i="73" s="1"/>
  <c r="F48" i="73"/>
  <c r="E48" i="73"/>
  <c r="D48" i="73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B46" i="73"/>
  <c r="Q45" i="73"/>
  <c r="B45" i="73"/>
  <c r="O44" i="73"/>
  <c r="N44" i="73"/>
  <c r="M44" i="73"/>
  <c r="L44" i="73"/>
  <c r="K44" i="73"/>
  <c r="J44" i="73"/>
  <c r="I44" i="73"/>
  <c r="H44" i="73"/>
  <c r="G44" i="73"/>
  <c r="F44" i="73"/>
  <c r="E44" i="73"/>
  <c r="D44" i="73"/>
  <c r="Q44" i="73" s="1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Q33" i="73" s="1"/>
  <c r="G33" i="73"/>
  <c r="F33" i="73"/>
  <c r="E33" i="73"/>
  <c r="D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L23" i="73"/>
  <c r="K23" i="73"/>
  <c r="J23" i="73"/>
  <c r="I23" i="73"/>
  <c r="H23" i="73"/>
  <c r="H22" i="73" s="1"/>
  <c r="G23" i="73"/>
  <c r="F23" i="73"/>
  <c r="E23" i="73"/>
  <c r="D23" i="73"/>
  <c r="B23" i="73"/>
  <c r="N22" i="73"/>
  <c r="J22" i="73"/>
  <c r="F22" i="73"/>
  <c r="K19" i="73"/>
  <c r="I19" i="73"/>
  <c r="I20" i="73" s="1"/>
  <c r="H19" i="73"/>
  <c r="Q17" i="73"/>
  <c r="B17" i="73"/>
  <c r="Q16" i="73"/>
  <c r="B16" i="73"/>
  <c r="Q15" i="73"/>
  <c r="Q14" i="73" s="1"/>
  <c r="B15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I12" i="73"/>
  <c r="H12" i="73"/>
  <c r="G12" i="73"/>
  <c r="F12" i="73"/>
  <c r="E12" i="73"/>
  <c r="Q12" i="73" s="1"/>
  <c r="D12" i="73"/>
  <c r="B12" i="73"/>
  <c r="I11" i="73"/>
  <c r="H11" i="73"/>
  <c r="G11" i="73"/>
  <c r="F11" i="73"/>
  <c r="E11" i="73"/>
  <c r="E10" i="73" s="1"/>
  <c r="E19" i="73" s="1"/>
  <c r="D11" i="73"/>
  <c r="B11" i="73"/>
  <c r="O10" i="73"/>
  <c r="O19" i="73" s="1"/>
  <c r="O20" i="73" s="1"/>
  <c r="N10" i="73"/>
  <c r="N19" i="73" s="1"/>
  <c r="M10" i="73"/>
  <c r="M19" i="73" s="1"/>
  <c r="L10" i="73"/>
  <c r="L19" i="73" s="1"/>
  <c r="K10" i="73"/>
  <c r="J10" i="73"/>
  <c r="J19" i="73" s="1"/>
  <c r="I10" i="73"/>
  <c r="H10" i="73"/>
  <c r="G10" i="73"/>
  <c r="G19" i="73" s="1"/>
  <c r="G20" i="73" s="1"/>
  <c r="F10" i="73"/>
  <c r="F19" i="73" s="1"/>
  <c r="D10" i="73"/>
  <c r="D19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K24" i="72"/>
  <c r="I22" i="72"/>
  <c r="Q22" i="72" s="1"/>
  <c r="H22" i="72"/>
  <c r="G22" i="72"/>
  <c r="F22" i="72"/>
  <c r="E22" i="72"/>
  <c r="D22" i="72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K18" i="72"/>
  <c r="D18" i="72"/>
  <c r="N17" i="72"/>
  <c r="K17" i="72"/>
  <c r="Q15" i="72"/>
  <c r="B15" i="72"/>
  <c r="Q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I12" i="72"/>
  <c r="H12" i="72"/>
  <c r="G12" i="72"/>
  <c r="F12" i="72"/>
  <c r="E12" i="72"/>
  <c r="D12" i="72"/>
  <c r="B12" i="72"/>
  <c r="I11" i="72"/>
  <c r="I10" i="72" s="1"/>
  <c r="I17" i="72" s="1"/>
  <c r="H11" i="72"/>
  <c r="H10" i="72" s="1"/>
  <c r="H17" i="72" s="1"/>
  <c r="G11" i="72"/>
  <c r="F11" i="72"/>
  <c r="F10" i="72" s="1"/>
  <c r="F17" i="72" s="1"/>
  <c r="E11" i="72"/>
  <c r="D11" i="72"/>
  <c r="B11" i="72"/>
  <c r="O10" i="72"/>
  <c r="O17" i="72" s="1"/>
  <c r="N10" i="72"/>
  <c r="M10" i="72"/>
  <c r="M17" i="72" s="1"/>
  <c r="L10" i="72"/>
  <c r="L17" i="72" s="1"/>
  <c r="L24" i="72" s="1"/>
  <c r="K10" i="72"/>
  <c r="J10" i="72"/>
  <c r="J17" i="72" s="1"/>
  <c r="E10" i="72"/>
  <c r="E17" i="72" s="1"/>
  <c r="D10" i="72"/>
  <c r="D17" i="72" s="1"/>
  <c r="D24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I21" i="71"/>
  <c r="H21" i="71"/>
  <c r="G21" i="71"/>
  <c r="F21" i="71"/>
  <c r="E21" i="71"/>
  <c r="Q21" i="71" s="1"/>
  <c r="D21" i="71"/>
  <c r="Q19" i="71"/>
  <c r="B19" i="71"/>
  <c r="O18" i="71"/>
  <c r="O17" i="71" s="1"/>
  <c r="N18" i="71"/>
  <c r="N17" i="71" s="1"/>
  <c r="M18" i="71"/>
  <c r="L18" i="71"/>
  <c r="K18" i="71"/>
  <c r="J18" i="71"/>
  <c r="I18" i="71"/>
  <c r="I17" i="71" s="1"/>
  <c r="H18" i="71"/>
  <c r="H17" i="71" s="1"/>
  <c r="H23" i="71" s="1"/>
  <c r="G18" i="71"/>
  <c r="G17" i="71" s="1"/>
  <c r="F18" i="71"/>
  <c r="F17" i="71" s="1"/>
  <c r="E18" i="71"/>
  <c r="D18" i="71"/>
  <c r="B18" i="71"/>
  <c r="M17" i="71"/>
  <c r="L17" i="71"/>
  <c r="K17" i="71"/>
  <c r="J17" i="71"/>
  <c r="E17" i="71"/>
  <c r="D17" i="71"/>
  <c r="G15" i="71"/>
  <c r="O14" i="71"/>
  <c r="N14" i="71"/>
  <c r="G14" i="71"/>
  <c r="D14" i="71"/>
  <c r="Q12" i="71"/>
  <c r="O12" i="71"/>
  <c r="N12" i="71"/>
  <c r="M12" i="71"/>
  <c r="L12" i="71"/>
  <c r="L14" i="71" s="1"/>
  <c r="K12" i="71"/>
  <c r="J12" i="71"/>
  <c r="I12" i="71"/>
  <c r="H12" i="71"/>
  <c r="G12" i="71"/>
  <c r="F12" i="71"/>
  <c r="E12" i="71"/>
  <c r="D12" i="71"/>
  <c r="Q10" i="71"/>
  <c r="Q14" i="71" s="1"/>
  <c r="Q15" i="71" s="1"/>
  <c r="O10" i="71"/>
  <c r="N10" i="71"/>
  <c r="M10" i="71"/>
  <c r="M14" i="71" s="1"/>
  <c r="L10" i="71"/>
  <c r="K10" i="71"/>
  <c r="K14" i="71" s="1"/>
  <c r="J10" i="71"/>
  <c r="J14" i="71" s="1"/>
  <c r="I10" i="71"/>
  <c r="H10" i="71"/>
  <c r="H14" i="71" s="1"/>
  <c r="H15" i="71" s="1"/>
  <c r="G10" i="71"/>
  <c r="F10" i="71"/>
  <c r="E10" i="71"/>
  <c r="E14" i="71" s="1"/>
  <c r="D10" i="7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4" i="70"/>
  <c r="I69" i="70"/>
  <c r="H69" i="70"/>
  <c r="G69" i="70"/>
  <c r="F69" i="70"/>
  <c r="E69" i="70"/>
  <c r="D69" i="70"/>
  <c r="Q67" i="70"/>
  <c r="B67" i="70"/>
  <c r="O66" i="70"/>
  <c r="N66" i="70"/>
  <c r="M66" i="70"/>
  <c r="L66" i="70"/>
  <c r="K66" i="70"/>
  <c r="J66" i="70"/>
  <c r="I66" i="70"/>
  <c r="H66" i="70"/>
  <c r="G66" i="70"/>
  <c r="F66" i="70"/>
  <c r="E66" i="70"/>
  <c r="Q66" i="70" s="1"/>
  <c r="D66" i="70"/>
  <c r="B66" i="70"/>
  <c r="Q65" i="70"/>
  <c r="B65" i="70"/>
  <c r="O64" i="70"/>
  <c r="N64" i="70"/>
  <c r="M64" i="70"/>
  <c r="L64" i="70"/>
  <c r="K64" i="70"/>
  <c r="J64" i="70"/>
  <c r="I64" i="70"/>
  <c r="H64" i="70"/>
  <c r="G64" i="70"/>
  <c r="F64" i="70"/>
  <c r="E64" i="70"/>
  <c r="Q64" i="70" s="1"/>
  <c r="D64" i="70"/>
  <c r="B64" i="70"/>
  <c r="Q63" i="70"/>
  <c r="B63" i="70"/>
  <c r="Q62" i="70"/>
  <c r="B62" i="70"/>
  <c r="Q61" i="70"/>
  <c r="B61" i="70"/>
  <c r="Q60" i="70"/>
  <c r="B60" i="70"/>
  <c r="O59" i="70"/>
  <c r="N59" i="70"/>
  <c r="M59" i="70"/>
  <c r="L59" i="70"/>
  <c r="K59" i="70"/>
  <c r="J59" i="70"/>
  <c r="I59" i="70"/>
  <c r="H59" i="70"/>
  <c r="G59" i="70"/>
  <c r="F59" i="70"/>
  <c r="E59" i="70"/>
  <c r="D59" i="70"/>
  <c r="B59" i="70"/>
  <c r="Q58" i="70"/>
  <c r="B58" i="70"/>
  <c r="Q57" i="70"/>
  <c r="B57" i="70"/>
  <c r="O56" i="70"/>
  <c r="N56" i="70"/>
  <c r="M56" i="70"/>
  <c r="L56" i="70"/>
  <c r="K56" i="70"/>
  <c r="J56" i="70"/>
  <c r="I56" i="70"/>
  <c r="H56" i="70"/>
  <c r="G56" i="70"/>
  <c r="F56" i="70"/>
  <c r="E56" i="70"/>
  <c r="Q56" i="70" s="1"/>
  <c r="D56" i="70"/>
  <c r="B56" i="70"/>
  <c r="Q55" i="70"/>
  <c r="B55" i="70"/>
  <c r="O54" i="70"/>
  <c r="N54" i="70"/>
  <c r="M54" i="70"/>
  <c r="L54" i="70"/>
  <c r="K54" i="70"/>
  <c r="J54" i="70"/>
  <c r="I54" i="70"/>
  <c r="H54" i="70"/>
  <c r="H21" i="70" s="1"/>
  <c r="G54" i="70"/>
  <c r="F54" i="70"/>
  <c r="E54" i="70"/>
  <c r="Q54" i="70" s="1"/>
  <c r="D54" i="70"/>
  <c r="B54" i="70"/>
  <c r="Q53" i="70"/>
  <c r="B53" i="70"/>
  <c r="Q52" i="70"/>
  <c r="B52" i="70"/>
  <c r="O51" i="70"/>
  <c r="N51" i="70"/>
  <c r="M51" i="70"/>
  <c r="L51" i="70"/>
  <c r="K51" i="70"/>
  <c r="J51" i="70"/>
  <c r="I51" i="70"/>
  <c r="H51" i="70"/>
  <c r="G51" i="70"/>
  <c r="F51" i="70"/>
  <c r="E51" i="70"/>
  <c r="D51" i="70"/>
  <c r="B51" i="70"/>
  <c r="Q50" i="70"/>
  <c r="B50" i="70"/>
  <c r="O49" i="70"/>
  <c r="N49" i="70"/>
  <c r="M49" i="70"/>
  <c r="L49" i="70"/>
  <c r="K49" i="70"/>
  <c r="J49" i="70"/>
  <c r="I49" i="70"/>
  <c r="H49" i="70"/>
  <c r="G49" i="70"/>
  <c r="F49" i="70"/>
  <c r="E49" i="70"/>
  <c r="D49" i="70"/>
  <c r="B49" i="70"/>
  <c r="Q48" i="70"/>
  <c r="B48" i="70"/>
  <c r="O47" i="70"/>
  <c r="N47" i="70"/>
  <c r="M47" i="70"/>
  <c r="L47" i="70"/>
  <c r="K47" i="70"/>
  <c r="J47" i="70"/>
  <c r="I47" i="70"/>
  <c r="H47" i="70"/>
  <c r="G47" i="70"/>
  <c r="G21" i="70" s="1"/>
  <c r="F47" i="70"/>
  <c r="E47" i="70"/>
  <c r="D47" i="70"/>
  <c r="Q47" i="70" s="1"/>
  <c r="B47" i="70"/>
  <c r="Q46" i="70"/>
  <c r="B46" i="70"/>
  <c r="O45" i="70"/>
  <c r="N45" i="70"/>
  <c r="M45" i="70"/>
  <c r="L45" i="70"/>
  <c r="K45" i="70"/>
  <c r="J45" i="70"/>
  <c r="I45" i="70"/>
  <c r="H45" i="70"/>
  <c r="G45" i="70"/>
  <c r="F45" i="70"/>
  <c r="E45" i="70"/>
  <c r="D45" i="70"/>
  <c r="Q45" i="70" s="1"/>
  <c r="B45" i="70"/>
  <c r="Q44" i="70"/>
  <c r="B44" i="70"/>
  <c r="O43" i="70"/>
  <c r="N43" i="70"/>
  <c r="M43" i="70"/>
  <c r="L43" i="70"/>
  <c r="K43" i="70"/>
  <c r="J43" i="70"/>
  <c r="J21" i="70" s="1"/>
  <c r="I43" i="70"/>
  <c r="H43" i="70"/>
  <c r="G43" i="70"/>
  <c r="F43" i="70"/>
  <c r="E43" i="70"/>
  <c r="D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O32" i="70"/>
  <c r="N32" i="70"/>
  <c r="M32" i="70"/>
  <c r="L32" i="70"/>
  <c r="K32" i="70"/>
  <c r="J32" i="70"/>
  <c r="I32" i="70"/>
  <c r="H32" i="70"/>
  <c r="G32" i="70"/>
  <c r="F32" i="70"/>
  <c r="E32" i="70"/>
  <c r="D32" i="70"/>
  <c r="B32" i="70"/>
  <c r="Q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O22" i="70"/>
  <c r="N22" i="70"/>
  <c r="M22" i="70"/>
  <c r="L22" i="70"/>
  <c r="L21" i="70" s="1"/>
  <c r="K22" i="70"/>
  <c r="J22" i="70"/>
  <c r="I22" i="70"/>
  <c r="H22" i="70"/>
  <c r="G22" i="70"/>
  <c r="F22" i="70"/>
  <c r="E22" i="70"/>
  <c r="D22" i="70"/>
  <c r="Q22" i="70" s="1"/>
  <c r="B22" i="70"/>
  <c r="O21" i="70"/>
  <c r="O19" i="70"/>
  <c r="O18" i="70"/>
  <c r="N18" i="70"/>
  <c r="L18" i="70"/>
  <c r="Q16" i="70"/>
  <c r="B16" i="70"/>
  <c r="Q15" i="70"/>
  <c r="B15" i="70"/>
  <c r="Q14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I12" i="70"/>
  <c r="H12" i="70"/>
  <c r="G12" i="70"/>
  <c r="F12" i="70"/>
  <c r="E12" i="70"/>
  <c r="D12" i="70"/>
  <c r="B12" i="70"/>
  <c r="I11" i="70"/>
  <c r="H11" i="70"/>
  <c r="G11" i="70"/>
  <c r="F11" i="70"/>
  <c r="F10" i="70" s="1"/>
  <c r="F18" i="70" s="1"/>
  <c r="E11" i="70"/>
  <c r="D11" i="70"/>
  <c r="B11" i="70"/>
  <c r="O10" i="70"/>
  <c r="N10" i="70"/>
  <c r="M10" i="70"/>
  <c r="M18" i="70" s="1"/>
  <c r="M19" i="70" s="1"/>
  <c r="L10" i="70"/>
  <c r="K10" i="70"/>
  <c r="K18" i="70" s="1"/>
  <c r="J10" i="70"/>
  <c r="J18" i="70" s="1"/>
  <c r="H10" i="70"/>
  <c r="E10" i="70"/>
  <c r="E18" i="70" s="1"/>
  <c r="E19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8" i="69"/>
  <c r="I73" i="69"/>
  <c r="H73" i="69"/>
  <c r="G73" i="69"/>
  <c r="F73" i="69"/>
  <c r="E73" i="69"/>
  <c r="Q73" i="69" s="1"/>
  <c r="D73" i="69"/>
  <c r="Q71" i="69"/>
  <c r="B71" i="69"/>
  <c r="O70" i="69"/>
  <c r="N70" i="69"/>
  <c r="M70" i="69"/>
  <c r="L70" i="69"/>
  <c r="K70" i="69"/>
  <c r="J70" i="69"/>
  <c r="I70" i="69"/>
  <c r="H70" i="69"/>
  <c r="G70" i="69"/>
  <c r="F70" i="69"/>
  <c r="E70" i="69"/>
  <c r="D70" i="69"/>
  <c r="B70" i="69"/>
  <c r="Q69" i="69"/>
  <c r="B69" i="69"/>
  <c r="Q68" i="69"/>
  <c r="B68" i="69"/>
  <c r="O67" i="69"/>
  <c r="N67" i="69"/>
  <c r="M67" i="69"/>
  <c r="L67" i="69"/>
  <c r="K67" i="69"/>
  <c r="J67" i="69"/>
  <c r="I67" i="69"/>
  <c r="H67" i="69"/>
  <c r="G67" i="69"/>
  <c r="F67" i="69"/>
  <c r="E67" i="69"/>
  <c r="D67" i="69"/>
  <c r="Q67" i="69" s="1"/>
  <c r="B67" i="69"/>
  <c r="Q66" i="69"/>
  <c r="B66" i="69"/>
  <c r="O65" i="69"/>
  <c r="N65" i="69"/>
  <c r="M65" i="69"/>
  <c r="L65" i="69"/>
  <c r="K65" i="69"/>
  <c r="J65" i="69"/>
  <c r="I65" i="69"/>
  <c r="H65" i="69"/>
  <c r="G65" i="69"/>
  <c r="F65" i="69"/>
  <c r="E65" i="69"/>
  <c r="D65" i="69"/>
  <c r="B65" i="69"/>
  <c r="Q64" i="69"/>
  <c r="B64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Q63" i="69" s="1"/>
  <c r="B63" i="69"/>
  <c r="Q62" i="69"/>
  <c r="B62" i="69"/>
  <c r="O61" i="69"/>
  <c r="N61" i="69"/>
  <c r="M61" i="69"/>
  <c r="L61" i="69"/>
  <c r="K61" i="69"/>
  <c r="J61" i="69"/>
  <c r="I61" i="69"/>
  <c r="H61" i="69"/>
  <c r="G61" i="69"/>
  <c r="F61" i="69"/>
  <c r="E61" i="69"/>
  <c r="D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Q59" i="69" s="1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B57" i="69"/>
  <c r="Q56" i="69"/>
  <c r="B56" i="69"/>
  <c r="O55" i="69"/>
  <c r="N55" i="69"/>
  <c r="M55" i="69"/>
  <c r="L55" i="69"/>
  <c r="K55" i="69"/>
  <c r="J55" i="69"/>
  <c r="I55" i="69"/>
  <c r="H55" i="69"/>
  <c r="G55" i="69"/>
  <c r="F55" i="69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N32" i="69" s="1"/>
  <c r="M44" i="69"/>
  <c r="M32" i="69" s="1"/>
  <c r="L44" i="69"/>
  <c r="K44" i="69"/>
  <c r="J44" i="69"/>
  <c r="I44" i="69"/>
  <c r="H44" i="69"/>
  <c r="G44" i="69"/>
  <c r="F44" i="69"/>
  <c r="E44" i="69"/>
  <c r="Q44" i="69" s="1"/>
  <c r="D44" i="69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O32" i="69" s="1"/>
  <c r="N33" i="69"/>
  <c r="M33" i="69"/>
  <c r="L33" i="69"/>
  <c r="K33" i="69"/>
  <c r="J33" i="69"/>
  <c r="I33" i="69"/>
  <c r="H33" i="69"/>
  <c r="H32" i="69" s="1"/>
  <c r="G33" i="69"/>
  <c r="F33" i="69"/>
  <c r="E33" i="69"/>
  <c r="D33" i="69"/>
  <c r="B33" i="69"/>
  <c r="F32" i="69"/>
  <c r="E32" i="69"/>
  <c r="K30" i="69"/>
  <c r="J30" i="69"/>
  <c r="O29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O17" i="69"/>
  <c r="N17" i="69"/>
  <c r="M17" i="69"/>
  <c r="L17" i="69"/>
  <c r="K17" i="69"/>
  <c r="J17" i="69"/>
  <c r="J29" i="69" s="1"/>
  <c r="I17" i="69"/>
  <c r="H17" i="69"/>
  <c r="G17" i="69"/>
  <c r="F17" i="69"/>
  <c r="E17" i="69"/>
  <c r="D17" i="69"/>
  <c r="I15" i="69"/>
  <c r="H15" i="69"/>
  <c r="G15" i="69"/>
  <c r="Q15" i="69" s="1"/>
  <c r="F15" i="69"/>
  <c r="E15" i="69"/>
  <c r="D15" i="69"/>
  <c r="B15" i="69"/>
  <c r="I14" i="69"/>
  <c r="H14" i="69"/>
  <c r="G14" i="69"/>
  <c r="F14" i="69"/>
  <c r="E14" i="69"/>
  <c r="D14" i="69"/>
  <c r="B14" i="69"/>
  <c r="I13" i="69"/>
  <c r="H13" i="69"/>
  <c r="G13" i="69"/>
  <c r="Q13" i="69" s="1"/>
  <c r="F13" i="69"/>
  <c r="E13" i="69"/>
  <c r="D13" i="69"/>
  <c r="B13" i="69"/>
  <c r="I12" i="69"/>
  <c r="H12" i="69"/>
  <c r="G12" i="69"/>
  <c r="F12" i="69"/>
  <c r="E12" i="69"/>
  <c r="D12" i="69"/>
  <c r="B12" i="69"/>
  <c r="I11" i="69"/>
  <c r="I10" i="69" s="1"/>
  <c r="H11" i="69"/>
  <c r="G11" i="69"/>
  <c r="F11" i="69"/>
  <c r="E11" i="69"/>
  <c r="D11" i="69"/>
  <c r="B11" i="69"/>
  <c r="O10" i="69"/>
  <c r="N10" i="69"/>
  <c r="N29" i="69" s="1"/>
  <c r="M10" i="69"/>
  <c r="M29" i="69" s="1"/>
  <c r="L10" i="69"/>
  <c r="L29" i="69" s="1"/>
  <c r="K10" i="69"/>
  <c r="K29" i="69" s="1"/>
  <c r="J10" i="69"/>
  <c r="F10" i="69"/>
  <c r="F29" i="69" s="1"/>
  <c r="F30" i="69" s="1"/>
  <c r="E10" i="69"/>
  <c r="E29" i="69" s="1"/>
  <c r="D10" i="69"/>
  <c r="D29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5" i="68"/>
  <c r="I70" i="68"/>
  <c r="H70" i="68"/>
  <c r="G70" i="68"/>
  <c r="F70" i="68"/>
  <c r="E70" i="68"/>
  <c r="D70" i="68"/>
  <c r="Q68" i="68"/>
  <c r="B68" i="68"/>
  <c r="O67" i="68"/>
  <c r="N67" i="68"/>
  <c r="M67" i="68"/>
  <c r="L67" i="68"/>
  <c r="K67" i="68"/>
  <c r="J67" i="68"/>
  <c r="I67" i="68"/>
  <c r="H67" i="68"/>
  <c r="Q67" i="68" s="1"/>
  <c r="G67" i="68"/>
  <c r="F67" i="68"/>
  <c r="E67" i="68"/>
  <c r="D67" i="68"/>
  <c r="B67" i="68"/>
  <c r="Q66" i="68"/>
  <c r="B66" i="68"/>
  <c r="Q65" i="68"/>
  <c r="B65" i="68"/>
  <c r="Q64" i="68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E62" i="68"/>
  <c r="Q62" i="68" s="1"/>
  <c r="D62" i="68"/>
  <c r="B62" i="68"/>
  <c r="Q61" i="68"/>
  <c r="B61" i="68"/>
  <c r="O60" i="68"/>
  <c r="N60" i="68"/>
  <c r="M60" i="68"/>
  <c r="L60" i="68"/>
  <c r="K60" i="68"/>
  <c r="J60" i="68"/>
  <c r="I60" i="68"/>
  <c r="H60" i="68"/>
  <c r="G60" i="68"/>
  <c r="F60" i="68"/>
  <c r="F24" i="68" s="1"/>
  <c r="E60" i="68"/>
  <c r="D60" i="68"/>
  <c r="B60" i="68"/>
  <c r="Q59" i="68"/>
  <c r="B59" i="68"/>
  <c r="Q58" i="68"/>
  <c r="B58" i="68"/>
  <c r="O57" i="68"/>
  <c r="N57" i="68"/>
  <c r="M57" i="68"/>
  <c r="L57" i="68"/>
  <c r="K57" i="68"/>
  <c r="J57" i="68"/>
  <c r="I57" i="68"/>
  <c r="H57" i="68"/>
  <c r="Q57" i="68" s="1"/>
  <c r="G57" i="68"/>
  <c r="F57" i="68"/>
  <c r="E57" i="68"/>
  <c r="D57" i="68"/>
  <c r="B57" i="68"/>
  <c r="Q56" i="68"/>
  <c r="B56" i="68"/>
  <c r="O55" i="68"/>
  <c r="N55" i="68"/>
  <c r="M55" i="68"/>
  <c r="L55" i="68"/>
  <c r="K55" i="68"/>
  <c r="J55" i="68"/>
  <c r="I55" i="68"/>
  <c r="H55" i="68"/>
  <c r="H24" i="68" s="1"/>
  <c r="G55" i="68"/>
  <c r="F55" i="68"/>
  <c r="E55" i="68"/>
  <c r="D55" i="68"/>
  <c r="B55" i="68"/>
  <c r="Q54" i="68"/>
  <c r="B54" i="68"/>
  <c r="Q53" i="68"/>
  <c r="B53" i="68"/>
  <c r="O52" i="68"/>
  <c r="N52" i="68"/>
  <c r="M52" i="68"/>
  <c r="L52" i="68"/>
  <c r="K52" i="68"/>
  <c r="J52" i="68"/>
  <c r="I52" i="68"/>
  <c r="H52" i="68"/>
  <c r="G52" i="68"/>
  <c r="F52" i="68"/>
  <c r="E52" i="68"/>
  <c r="D52" i="68"/>
  <c r="Q52" i="68" s="1"/>
  <c r="B52" i="68"/>
  <c r="Q51" i="68"/>
  <c r="B51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Q50" i="68" s="1"/>
  <c r="B50" i="68"/>
  <c r="Q49" i="68"/>
  <c r="B49" i="68"/>
  <c r="O48" i="68"/>
  <c r="N48" i="68"/>
  <c r="M48" i="68"/>
  <c r="L48" i="68"/>
  <c r="K48" i="68"/>
  <c r="J48" i="68"/>
  <c r="I48" i="68"/>
  <c r="I24" i="68" s="1"/>
  <c r="H48" i="68"/>
  <c r="G48" i="68"/>
  <c r="F48" i="68"/>
  <c r="E48" i="68"/>
  <c r="D48" i="68"/>
  <c r="B48" i="68"/>
  <c r="Q47" i="68"/>
  <c r="B47" i="68"/>
  <c r="O46" i="68"/>
  <c r="N46" i="68"/>
  <c r="M46" i="68"/>
  <c r="L46" i="68"/>
  <c r="K46" i="68"/>
  <c r="J46" i="68"/>
  <c r="I46" i="68"/>
  <c r="H46" i="68"/>
  <c r="G46" i="68"/>
  <c r="F46" i="68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B35" i="68"/>
  <c r="Q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O25" i="68"/>
  <c r="N25" i="68"/>
  <c r="N24" i="68" s="1"/>
  <c r="M25" i="68"/>
  <c r="L25" i="68"/>
  <c r="L24" i="68" s="1"/>
  <c r="K25" i="68"/>
  <c r="J25" i="68"/>
  <c r="I25" i="68"/>
  <c r="H25" i="68"/>
  <c r="G25" i="68"/>
  <c r="F25" i="68"/>
  <c r="E25" i="68"/>
  <c r="D25" i="68"/>
  <c r="B25" i="68"/>
  <c r="J24" i="68"/>
  <c r="O22" i="68"/>
  <c r="K21" i="68"/>
  <c r="Q19" i="68"/>
  <c r="Q17" i="68" s="1"/>
  <c r="B19" i="68"/>
  <c r="Q18" i="68"/>
  <c r="B18" i="68"/>
  <c r="O17" i="68"/>
  <c r="N17" i="68"/>
  <c r="N21" i="68" s="1"/>
  <c r="M17" i="68"/>
  <c r="M21" i="68" s="1"/>
  <c r="L17" i="68"/>
  <c r="L21" i="68" s="1"/>
  <c r="K17" i="68"/>
  <c r="J17" i="68"/>
  <c r="I17" i="68"/>
  <c r="H17" i="68"/>
  <c r="G17" i="68"/>
  <c r="F17" i="68"/>
  <c r="E17" i="68"/>
  <c r="D17" i="68"/>
  <c r="I15" i="68"/>
  <c r="H15" i="68"/>
  <c r="G15" i="68"/>
  <c r="F15" i="68"/>
  <c r="E15" i="68"/>
  <c r="D15" i="68"/>
  <c r="Q15" i="68" s="1"/>
  <c r="B15" i="68"/>
  <c r="I14" i="68"/>
  <c r="H14" i="68"/>
  <c r="G14" i="68"/>
  <c r="F14" i="68"/>
  <c r="E14" i="68"/>
  <c r="D14" i="68"/>
  <c r="Q14" i="68" s="1"/>
  <c r="B14" i="68"/>
  <c r="I13" i="68"/>
  <c r="H13" i="68"/>
  <c r="G13" i="68"/>
  <c r="F13" i="68"/>
  <c r="E13" i="68"/>
  <c r="D13" i="68"/>
  <c r="Q13" i="68" s="1"/>
  <c r="B13" i="68"/>
  <c r="I12" i="68"/>
  <c r="H12" i="68"/>
  <c r="G12" i="68"/>
  <c r="F12" i="68"/>
  <c r="E12" i="68"/>
  <c r="D12" i="68"/>
  <c r="Q12" i="68" s="1"/>
  <c r="B12" i="68"/>
  <c r="I11" i="68"/>
  <c r="H11" i="68"/>
  <c r="G11" i="68"/>
  <c r="F11" i="68"/>
  <c r="F10" i="68" s="1"/>
  <c r="F21" i="68" s="1"/>
  <c r="E11" i="68"/>
  <c r="E10" i="68" s="1"/>
  <c r="E21" i="68" s="1"/>
  <c r="D11" i="68"/>
  <c r="B11" i="68"/>
  <c r="O10" i="68"/>
  <c r="O21" i="68" s="1"/>
  <c r="N10" i="68"/>
  <c r="M10" i="68"/>
  <c r="L10" i="68"/>
  <c r="K10" i="68"/>
  <c r="J10" i="68"/>
  <c r="J21" i="68" s="1"/>
  <c r="J22" i="68" s="1"/>
  <c r="I10" i="68"/>
  <c r="I21" i="68" s="1"/>
  <c r="H10" i="68"/>
  <c r="H21" i="68" s="1"/>
  <c r="G10" i="68"/>
  <c r="G21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9" i="67"/>
  <c r="I104" i="67"/>
  <c r="H104" i="67"/>
  <c r="G104" i="67"/>
  <c r="F104" i="67"/>
  <c r="E104" i="67"/>
  <c r="D104" i="67"/>
  <c r="Q102" i="67"/>
  <c r="B102" i="67"/>
  <c r="O101" i="67"/>
  <c r="N101" i="67"/>
  <c r="M101" i="67"/>
  <c r="L101" i="67"/>
  <c r="K101" i="67"/>
  <c r="J101" i="67"/>
  <c r="I101" i="67"/>
  <c r="H101" i="67"/>
  <c r="G101" i="67"/>
  <c r="F101" i="67"/>
  <c r="E101" i="67"/>
  <c r="D101" i="67"/>
  <c r="B101" i="67"/>
  <c r="Q100" i="67"/>
  <c r="B100" i="67"/>
  <c r="O99" i="67"/>
  <c r="N99" i="67"/>
  <c r="M99" i="67"/>
  <c r="L99" i="67"/>
  <c r="K99" i="67"/>
  <c r="J99" i="67"/>
  <c r="I99" i="67"/>
  <c r="H99" i="67"/>
  <c r="G99" i="67"/>
  <c r="F99" i="67"/>
  <c r="E99" i="67"/>
  <c r="D99" i="67"/>
  <c r="Q99" i="67" s="1"/>
  <c r="B99" i="67"/>
  <c r="Q98" i="67"/>
  <c r="B98" i="67"/>
  <c r="Q97" i="67"/>
  <c r="B97" i="67"/>
  <c r="Q96" i="67"/>
  <c r="B96" i="67"/>
  <c r="Q95" i="67"/>
  <c r="B95" i="67"/>
  <c r="O94" i="67"/>
  <c r="N94" i="67"/>
  <c r="M94" i="67"/>
  <c r="L94" i="67"/>
  <c r="K94" i="67"/>
  <c r="J94" i="67"/>
  <c r="I94" i="67"/>
  <c r="H94" i="67"/>
  <c r="G94" i="67"/>
  <c r="F94" i="67"/>
  <c r="E94" i="67"/>
  <c r="D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G91" i="67"/>
  <c r="F91" i="67"/>
  <c r="E91" i="67"/>
  <c r="D91" i="67"/>
  <c r="B91" i="67"/>
  <c r="Q90" i="67"/>
  <c r="B90" i="67"/>
  <c r="Q89" i="67"/>
  <c r="B89" i="67"/>
  <c r="Q88" i="67"/>
  <c r="B88" i="67"/>
  <c r="O87" i="67"/>
  <c r="O41" i="67" s="1"/>
  <c r="N87" i="67"/>
  <c r="M87" i="67"/>
  <c r="L87" i="67"/>
  <c r="K87" i="67"/>
  <c r="J87" i="67"/>
  <c r="I87" i="67"/>
  <c r="H87" i="67"/>
  <c r="H41" i="67" s="1"/>
  <c r="G87" i="67"/>
  <c r="G41" i="67" s="1"/>
  <c r="F87" i="67"/>
  <c r="E87" i="67"/>
  <c r="D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Q84" i="67" s="1"/>
  <c r="G84" i="67"/>
  <c r="F84" i="67"/>
  <c r="E84" i="67"/>
  <c r="D84" i="67"/>
  <c r="B84" i="67"/>
  <c r="Q83" i="67"/>
  <c r="B83" i="67"/>
  <c r="O82" i="67"/>
  <c r="N82" i="67"/>
  <c r="M82" i="67"/>
  <c r="L82" i="67"/>
  <c r="K82" i="67"/>
  <c r="J82" i="67"/>
  <c r="I82" i="67"/>
  <c r="H82" i="67"/>
  <c r="Q82" i="67" s="1"/>
  <c r="G82" i="67"/>
  <c r="F82" i="67"/>
  <c r="E82" i="67"/>
  <c r="D82" i="67"/>
  <c r="B82" i="67"/>
  <c r="Q81" i="67"/>
  <c r="B81" i="67"/>
  <c r="O80" i="67"/>
  <c r="N80" i="67"/>
  <c r="M80" i="67"/>
  <c r="L80" i="67"/>
  <c r="K80" i="67"/>
  <c r="J80" i="67"/>
  <c r="I80" i="67"/>
  <c r="H80" i="67"/>
  <c r="G80" i="67"/>
  <c r="F80" i="67"/>
  <c r="E80" i="67"/>
  <c r="D80" i="67"/>
  <c r="B80" i="67"/>
  <c r="Q79" i="67"/>
  <c r="B79" i="67"/>
  <c r="O78" i="67"/>
  <c r="N78" i="67"/>
  <c r="M78" i="67"/>
  <c r="L78" i="67"/>
  <c r="K78" i="67"/>
  <c r="J78" i="67"/>
  <c r="J41" i="67" s="1"/>
  <c r="I78" i="67"/>
  <c r="H78" i="67"/>
  <c r="G78" i="67"/>
  <c r="F78" i="67"/>
  <c r="E78" i="67"/>
  <c r="D78" i="67"/>
  <c r="B78" i="67"/>
  <c r="Q77" i="67"/>
  <c r="B77" i="67"/>
  <c r="Q76" i="67"/>
  <c r="B76" i="67"/>
  <c r="O75" i="67"/>
  <c r="N75" i="67"/>
  <c r="M75" i="67"/>
  <c r="L75" i="67"/>
  <c r="K75" i="67"/>
  <c r="J75" i="67"/>
  <c r="I75" i="67"/>
  <c r="H75" i="67"/>
  <c r="G75" i="67"/>
  <c r="F75" i="67"/>
  <c r="E75" i="67"/>
  <c r="D75" i="67"/>
  <c r="B75" i="67"/>
  <c r="Q74" i="67"/>
  <c r="B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B71" i="67"/>
  <c r="Q70" i="67"/>
  <c r="B70" i="67"/>
  <c r="O69" i="67"/>
  <c r="N69" i="67"/>
  <c r="M69" i="67"/>
  <c r="L69" i="67"/>
  <c r="K69" i="67"/>
  <c r="K41" i="67" s="1"/>
  <c r="J69" i="67"/>
  <c r="I69" i="67"/>
  <c r="H69" i="67"/>
  <c r="G69" i="67"/>
  <c r="F69" i="67"/>
  <c r="E69" i="67"/>
  <c r="D69" i="67"/>
  <c r="B69" i="67"/>
  <c r="Q68" i="67"/>
  <c r="B68" i="67"/>
  <c r="O67" i="67"/>
  <c r="N67" i="67"/>
  <c r="M67" i="67"/>
  <c r="L67" i="67"/>
  <c r="K67" i="67"/>
  <c r="J67" i="67"/>
  <c r="I67" i="67"/>
  <c r="H67" i="67"/>
  <c r="G67" i="67"/>
  <c r="F67" i="67"/>
  <c r="E67" i="67"/>
  <c r="D67" i="67"/>
  <c r="B67" i="67"/>
  <c r="Q66" i="67"/>
  <c r="B66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Q65" i="67" s="1"/>
  <c r="B65" i="67"/>
  <c r="Q64" i="67"/>
  <c r="B64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N42" i="67"/>
  <c r="M42" i="67"/>
  <c r="M41" i="67" s="1"/>
  <c r="L42" i="67"/>
  <c r="K42" i="67"/>
  <c r="J42" i="67"/>
  <c r="I42" i="67"/>
  <c r="H42" i="67"/>
  <c r="G42" i="67"/>
  <c r="F42" i="67"/>
  <c r="E42" i="67"/>
  <c r="E41" i="67" s="1"/>
  <c r="D42" i="67"/>
  <c r="B42" i="67"/>
  <c r="E38" i="67"/>
  <c r="E39" i="67" s="1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B18" i="67"/>
  <c r="Q17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I15" i="67"/>
  <c r="H15" i="67"/>
  <c r="G15" i="67"/>
  <c r="Q15" i="67" s="1"/>
  <c r="F15" i="67"/>
  <c r="E15" i="67"/>
  <c r="D15" i="67"/>
  <c r="B15" i="67"/>
  <c r="I14" i="67"/>
  <c r="H14" i="67"/>
  <c r="G14" i="67"/>
  <c r="F14" i="67"/>
  <c r="E14" i="67"/>
  <c r="D14" i="67"/>
  <c r="B14" i="67"/>
  <c r="I13" i="67"/>
  <c r="H13" i="67"/>
  <c r="G13" i="67"/>
  <c r="Q13" i="67" s="1"/>
  <c r="F13" i="67"/>
  <c r="E13" i="67"/>
  <c r="D13" i="67"/>
  <c r="B13" i="67"/>
  <c r="I12" i="67"/>
  <c r="H12" i="67"/>
  <c r="G12" i="67"/>
  <c r="F12" i="67"/>
  <c r="E12" i="67"/>
  <c r="D12" i="67"/>
  <c r="B12" i="67"/>
  <c r="I11" i="67"/>
  <c r="H11" i="67"/>
  <c r="G11" i="67"/>
  <c r="F11" i="67"/>
  <c r="E11" i="67"/>
  <c r="D11" i="67"/>
  <c r="B11" i="67"/>
  <c r="O10" i="67"/>
  <c r="O38" i="67" s="1"/>
  <c r="N10" i="67"/>
  <c r="N38" i="67" s="1"/>
  <c r="M10" i="67"/>
  <c r="M38" i="67" s="1"/>
  <c r="L10" i="67"/>
  <c r="L38" i="67" s="1"/>
  <c r="K10" i="67"/>
  <c r="K38" i="67" s="1"/>
  <c r="J10" i="67"/>
  <c r="J38" i="67" s="1"/>
  <c r="I10" i="67"/>
  <c r="F10" i="67"/>
  <c r="F38" i="67" s="1"/>
  <c r="E10" i="67"/>
  <c r="D10" i="67"/>
  <c r="D38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I27" i="66"/>
  <c r="I25" i="66"/>
  <c r="H25" i="66"/>
  <c r="G25" i="66"/>
  <c r="F25" i="66"/>
  <c r="E25" i="66"/>
  <c r="D25" i="66"/>
  <c r="Q23" i="66"/>
  <c r="B23" i="66"/>
  <c r="O22" i="66"/>
  <c r="N22" i="66"/>
  <c r="M22" i="66"/>
  <c r="L22" i="66"/>
  <c r="K22" i="66"/>
  <c r="J22" i="66"/>
  <c r="I22" i="66"/>
  <c r="H22" i="66"/>
  <c r="G22" i="66"/>
  <c r="Q22" i="66" s="1"/>
  <c r="F22" i="66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Q20" i="66" s="1"/>
  <c r="F20" i="66"/>
  <c r="E20" i="66"/>
  <c r="D20" i="66"/>
  <c r="B20" i="66"/>
  <c r="Q19" i="66"/>
  <c r="B19" i="66"/>
  <c r="O18" i="66"/>
  <c r="N18" i="66"/>
  <c r="M18" i="66"/>
  <c r="L18" i="66"/>
  <c r="K18" i="66"/>
  <c r="K17" i="66" s="1"/>
  <c r="J18" i="66"/>
  <c r="J17" i="66" s="1"/>
  <c r="I18" i="66"/>
  <c r="H18" i="66"/>
  <c r="H17" i="66" s="1"/>
  <c r="G18" i="66"/>
  <c r="F18" i="66"/>
  <c r="E18" i="66"/>
  <c r="D18" i="66"/>
  <c r="B18" i="66"/>
  <c r="N17" i="66"/>
  <c r="M17" i="66"/>
  <c r="L17" i="66"/>
  <c r="I17" i="66"/>
  <c r="F17" i="66"/>
  <c r="E17" i="66"/>
  <c r="D17" i="66"/>
  <c r="K15" i="66"/>
  <c r="Q14" i="66"/>
  <c r="O14" i="66"/>
  <c r="K14" i="66"/>
  <c r="K27" i="66" s="1"/>
  <c r="H14" i="66"/>
  <c r="G14" i="66"/>
  <c r="Q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Q10" i="66"/>
  <c r="O10" i="66"/>
  <c r="N10" i="66"/>
  <c r="N14" i="66" s="1"/>
  <c r="M10" i="66"/>
  <c r="L10" i="66"/>
  <c r="K10" i="66"/>
  <c r="J10" i="66"/>
  <c r="J14" i="66" s="1"/>
  <c r="I10" i="66"/>
  <c r="I14" i="66" s="1"/>
  <c r="I15" i="66" s="1"/>
  <c r="H10" i="66"/>
  <c r="G10" i="66"/>
  <c r="F10" i="66"/>
  <c r="F14" i="66" s="1"/>
  <c r="E10" i="66"/>
  <c r="D10" i="66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88" i="65"/>
  <c r="I83" i="65"/>
  <c r="H83" i="65"/>
  <c r="G83" i="65"/>
  <c r="F83" i="65"/>
  <c r="E83" i="65"/>
  <c r="D83" i="65"/>
  <c r="Q81" i="65"/>
  <c r="B81" i="65"/>
  <c r="O80" i="65"/>
  <c r="N80" i="65"/>
  <c r="M80" i="65"/>
  <c r="L80" i="65"/>
  <c r="L32" i="65" s="1"/>
  <c r="K80" i="65"/>
  <c r="K32" i="65" s="1"/>
  <c r="J80" i="65"/>
  <c r="I80" i="65"/>
  <c r="H80" i="65"/>
  <c r="G80" i="65"/>
  <c r="F80" i="65"/>
  <c r="E80" i="65"/>
  <c r="D80" i="65"/>
  <c r="B80" i="65"/>
  <c r="Q79" i="65"/>
  <c r="B79" i="65"/>
  <c r="Q78" i="65"/>
  <c r="B78" i="65"/>
  <c r="O77" i="65"/>
  <c r="N77" i="65"/>
  <c r="M77" i="65"/>
  <c r="L77" i="65"/>
  <c r="K77" i="65"/>
  <c r="J77" i="65"/>
  <c r="I77" i="65"/>
  <c r="H77" i="65"/>
  <c r="G77" i="65"/>
  <c r="F77" i="65"/>
  <c r="E77" i="65"/>
  <c r="D77" i="65"/>
  <c r="B77" i="65"/>
  <c r="Q76" i="65"/>
  <c r="B76" i="65"/>
  <c r="Q75" i="65"/>
  <c r="B75" i="65"/>
  <c r="O74" i="65"/>
  <c r="N74" i="65"/>
  <c r="M74" i="65"/>
  <c r="L74" i="65"/>
  <c r="K74" i="65"/>
  <c r="J74" i="65"/>
  <c r="I74" i="65"/>
  <c r="H74" i="65"/>
  <c r="Q74" i="65" s="1"/>
  <c r="G74" i="65"/>
  <c r="F74" i="65"/>
  <c r="E74" i="65"/>
  <c r="D74" i="65"/>
  <c r="B74" i="65"/>
  <c r="Q73" i="65"/>
  <c r="B73" i="65"/>
  <c r="Q72" i="65"/>
  <c r="B72" i="65"/>
  <c r="O71" i="65"/>
  <c r="N71" i="65"/>
  <c r="M71" i="65"/>
  <c r="L71" i="65"/>
  <c r="K71" i="65"/>
  <c r="J71" i="65"/>
  <c r="I71" i="65"/>
  <c r="H71" i="65"/>
  <c r="G71" i="65"/>
  <c r="F71" i="65"/>
  <c r="E71" i="65"/>
  <c r="D71" i="65"/>
  <c r="B71" i="65"/>
  <c r="Q70" i="65"/>
  <c r="B70" i="65"/>
  <c r="Q69" i="65"/>
  <c r="B69" i="65"/>
  <c r="Q68" i="65"/>
  <c r="B68" i="65"/>
  <c r="O67" i="65"/>
  <c r="N67" i="65"/>
  <c r="M67" i="65"/>
  <c r="L67" i="65"/>
  <c r="K67" i="65"/>
  <c r="J67" i="65"/>
  <c r="I67" i="65"/>
  <c r="H67" i="65"/>
  <c r="G67" i="65"/>
  <c r="F67" i="65"/>
  <c r="E67" i="65"/>
  <c r="D67" i="65"/>
  <c r="Q67" i="65" s="1"/>
  <c r="B67" i="65"/>
  <c r="Q66" i="65"/>
  <c r="B66" i="65"/>
  <c r="O65" i="65"/>
  <c r="N65" i="65"/>
  <c r="M65" i="65"/>
  <c r="L65" i="65"/>
  <c r="K65" i="65"/>
  <c r="J65" i="65"/>
  <c r="I65" i="65"/>
  <c r="H65" i="65"/>
  <c r="G65" i="65"/>
  <c r="F65" i="65"/>
  <c r="E65" i="65"/>
  <c r="D65" i="65"/>
  <c r="B65" i="65"/>
  <c r="Q64" i="65"/>
  <c r="B64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Q63" i="65" s="1"/>
  <c r="B63" i="65"/>
  <c r="Q62" i="65"/>
  <c r="B62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Q61" i="65" s="1"/>
  <c r="B61" i="65"/>
  <c r="Q60" i="65"/>
  <c r="B60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B59" i="65"/>
  <c r="Q58" i="65"/>
  <c r="B58" i="65"/>
  <c r="O57" i="65"/>
  <c r="N57" i="65"/>
  <c r="M57" i="65"/>
  <c r="L57" i="65"/>
  <c r="K57" i="65"/>
  <c r="J57" i="65"/>
  <c r="I57" i="65"/>
  <c r="H57" i="65"/>
  <c r="G57" i="65"/>
  <c r="F57" i="65"/>
  <c r="E57" i="65"/>
  <c r="D57" i="65"/>
  <c r="B57" i="65"/>
  <c r="Q56" i="65"/>
  <c r="B56" i="65"/>
  <c r="O55" i="65"/>
  <c r="N55" i="65"/>
  <c r="N32" i="65" s="1"/>
  <c r="N85" i="65" s="1"/>
  <c r="M55" i="65"/>
  <c r="L55" i="65"/>
  <c r="K55" i="65"/>
  <c r="J55" i="65"/>
  <c r="I55" i="65"/>
  <c r="H55" i="65"/>
  <c r="G55" i="65"/>
  <c r="F55" i="65"/>
  <c r="F32" i="65" s="1"/>
  <c r="E55" i="65"/>
  <c r="D55" i="65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M44" i="65"/>
  <c r="L44" i="65"/>
  <c r="K44" i="65"/>
  <c r="J44" i="65"/>
  <c r="I44" i="65"/>
  <c r="H44" i="65"/>
  <c r="H32" i="65" s="1"/>
  <c r="G44" i="65"/>
  <c r="F44" i="65"/>
  <c r="E44" i="65"/>
  <c r="D44" i="65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N33" i="65"/>
  <c r="M33" i="65"/>
  <c r="L33" i="65"/>
  <c r="K33" i="65"/>
  <c r="J33" i="65"/>
  <c r="J32" i="65" s="1"/>
  <c r="I33" i="65"/>
  <c r="I32" i="65" s="1"/>
  <c r="H33" i="65"/>
  <c r="G33" i="65"/>
  <c r="F33" i="65"/>
  <c r="E33" i="65"/>
  <c r="D33" i="65"/>
  <c r="B33" i="65"/>
  <c r="O32" i="65"/>
  <c r="G32" i="65"/>
  <c r="E30" i="65"/>
  <c r="D30" i="65"/>
  <c r="J29" i="65"/>
  <c r="I29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Q17" i="65" s="1"/>
  <c r="B18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I15" i="65"/>
  <c r="Q15" i="65" s="1"/>
  <c r="H15" i="65"/>
  <c r="G15" i="65"/>
  <c r="F15" i="65"/>
  <c r="E15" i="65"/>
  <c r="D15" i="65"/>
  <c r="B15" i="65"/>
  <c r="I14" i="65"/>
  <c r="Q14" i="65" s="1"/>
  <c r="H14" i="65"/>
  <c r="G14" i="65"/>
  <c r="F14" i="65"/>
  <c r="E14" i="65"/>
  <c r="D14" i="65"/>
  <c r="B14" i="65"/>
  <c r="I13" i="65"/>
  <c r="Q13" i="65" s="1"/>
  <c r="H13" i="65"/>
  <c r="G13" i="65"/>
  <c r="F13" i="65"/>
  <c r="E13" i="65"/>
  <c r="D13" i="65"/>
  <c r="B13" i="65"/>
  <c r="I12" i="65"/>
  <c r="Q12" i="65" s="1"/>
  <c r="H12" i="65"/>
  <c r="G12" i="65"/>
  <c r="F12" i="65"/>
  <c r="E12" i="65"/>
  <c r="D12" i="65"/>
  <c r="B12" i="65"/>
  <c r="I11" i="65"/>
  <c r="I10" i="65" s="1"/>
  <c r="H11" i="65"/>
  <c r="G11" i="65"/>
  <c r="F11" i="65"/>
  <c r="E11" i="65"/>
  <c r="D11" i="65"/>
  <c r="B11" i="65"/>
  <c r="O10" i="65"/>
  <c r="O29" i="65" s="1"/>
  <c r="N10" i="65"/>
  <c r="N29" i="65" s="1"/>
  <c r="N30" i="65" s="1"/>
  <c r="M10" i="65"/>
  <c r="M29" i="65" s="1"/>
  <c r="L10" i="65"/>
  <c r="L29" i="65" s="1"/>
  <c r="L85" i="65" s="1"/>
  <c r="K10" i="65"/>
  <c r="K29" i="65" s="1"/>
  <c r="J10" i="65"/>
  <c r="H10" i="65"/>
  <c r="H29" i="65" s="1"/>
  <c r="G10" i="65"/>
  <c r="G29" i="65" s="1"/>
  <c r="F10" i="65"/>
  <c r="F29" i="65" s="1"/>
  <c r="F30" i="65" s="1"/>
  <c r="E10" i="65"/>
  <c r="E29" i="65" s="1"/>
  <c r="D10" i="65"/>
  <c r="D29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39" i="64"/>
  <c r="N37" i="64"/>
  <c r="Q34" i="64"/>
  <c r="I34" i="64"/>
  <c r="H34" i="64"/>
  <c r="G34" i="64"/>
  <c r="F34" i="64"/>
  <c r="E34" i="64"/>
  <c r="D34" i="64"/>
  <c r="Q32" i="64"/>
  <c r="B32" i="64"/>
  <c r="O31" i="64"/>
  <c r="N31" i="64"/>
  <c r="M31" i="64"/>
  <c r="L31" i="64"/>
  <c r="K31" i="64"/>
  <c r="J31" i="64"/>
  <c r="J17" i="64" s="1"/>
  <c r="I31" i="64"/>
  <c r="I17" i="64" s="1"/>
  <c r="H31" i="64"/>
  <c r="G31" i="64"/>
  <c r="F31" i="64"/>
  <c r="E31" i="64"/>
  <c r="D31" i="64"/>
  <c r="B31" i="64"/>
  <c r="Q30" i="64"/>
  <c r="B30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B29" i="64"/>
  <c r="Q28" i="64"/>
  <c r="B28" i="64"/>
  <c r="Q27" i="64"/>
  <c r="B27" i="64"/>
  <c r="O26" i="64"/>
  <c r="N26" i="64"/>
  <c r="M26" i="64"/>
  <c r="L26" i="64"/>
  <c r="K26" i="64"/>
  <c r="J26" i="64"/>
  <c r="I26" i="64"/>
  <c r="H26" i="64"/>
  <c r="G26" i="64"/>
  <c r="F26" i="64"/>
  <c r="E26" i="64"/>
  <c r="D26" i="64"/>
  <c r="Q26" i="64" s="1"/>
  <c r="B26" i="64"/>
  <c r="Q25" i="64"/>
  <c r="B25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B24" i="64"/>
  <c r="Q23" i="64"/>
  <c r="B23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Q22" i="64" s="1"/>
  <c r="B22" i="64"/>
  <c r="Q21" i="64"/>
  <c r="B21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B20" i="64"/>
  <c r="Q19" i="64"/>
  <c r="B19" i="64"/>
  <c r="O18" i="64"/>
  <c r="N18" i="64"/>
  <c r="M18" i="64"/>
  <c r="L18" i="64"/>
  <c r="L17" i="64" s="1"/>
  <c r="K18" i="64"/>
  <c r="J18" i="64"/>
  <c r="I18" i="64"/>
  <c r="H18" i="64"/>
  <c r="G18" i="64"/>
  <c r="F18" i="64"/>
  <c r="E18" i="64"/>
  <c r="D18" i="64"/>
  <c r="B18" i="64"/>
  <c r="O17" i="64"/>
  <c r="N17" i="64"/>
  <c r="M17" i="64"/>
  <c r="H17" i="64"/>
  <c r="G17" i="64"/>
  <c r="F17" i="64"/>
  <c r="E17" i="64"/>
  <c r="L14" i="64"/>
  <c r="L15" i="64" s="1"/>
  <c r="K14" i="64"/>
  <c r="D14" i="64"/>
  <c r="D15" i="64" s="1"/>
  <c r="Q12" i="64"/>
  <c r="Q14" i="64" s="1"/>
  <c r="O12" i="64"/>
  <c r="N12" i="64"/>
  <c r="M12" i="64"/>
  <c r="L12" i="64"/>
  <c r="K12" i="64"/>
  <c r="J12" i="64"/>
  <c r="I12" i="64"/>
  <c r="I14" i="64" s="1"/>
  <c r="H12" i="64"/>
  <c r="H14" i="64" s="1"/>
  <c r="G12" i="64"/>
  <c r="F12" i="64"/>
  <c r="E12" i="64"/>
  <c r="D12" i="64"/>
  <c r="Q10" i="64"/>
  <c r="O10" i="64"/>
  <c r="O14" i="64" s="1"/>
  <c r="N10" i="64"/>
  <c r="N14" i="64" s="1"/>
  <c r="N36" i="64" s="1"/>
  <c r="N41" i="64" s="1"/>
  <c r="N42" i="64" s="1"/>
  <c r="M10" i="64"/>
  <c r="M14" i="64" s="1"/>
  <c r="L10" i="64"/>
  <c r="K10" i="64"/>
  <c r="J10" i="64"/>
  <c r="J14" i="64" s="1"/>
  <c r="I10" i="64"/>
  <c r="H10" i="64"/>
  <c r="G10" i="64"/>
  <c r="G14" i="64" s="1"/>
  <c r="F10" i="64"/>
  <c r="F14" i="64" s="1"/>
  <c r="F36" i="64" s="1"/>
  <c r="F41" i="64" s="1"/>
  <c r="F42" i="64" s="1"/>
  <c r="E10" i="64"/>
  <c r="E14" i="64" s="1"/>
  <c r="D10" i="64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5" i="63"/>
  <c r="E83" i="63"/>
  <c r="I80" i="63"/>
  <c r="H80" i="63"/>
  <c r="G80" i="63"/>
  <c r="F80" i="63"/>
  <c r="E80" i="63"/>
  <c r="Q80" i="63" s="1"/>
  <c r="D80" i="63"/>
  <c r="Q78" i="63"/>
  <c r="B78" i="63"/>
  <c r="O77" i="63"/>
  <c r="N77" i="63"/>
  <c r="M77" i="63"/>
  <c r="L77" i="63"/>
  <c r="K77" i="63"/>
  <c r="J77" i="63"/>
  <c r="I77" i="63"/>
  <c r="H77" i="63"/>
  <c r="G77" i="63"/>
  <c r="Q77" i="63" s="1"/>
  <c r="F77" i="63"/>
  <c r="E77" i="63"/>
  <c r="D77" i="63"/>
  <c r="B77" i="63"/>
  <c r="Q76" i="63"/>
  <c r="B76" i="63"/>
  <c r="Q75" i="63"/>
  <c r="B75" i="63"/>
  <c r="Q74" i="63"/>
  <c r="B74" i="63"/>
  <c r="Q73" i="63"/>
  <c r="B73" i="63"/>
  <c r="O72" i="63"/>
  <c r="N72" i="63"/>
  <c r="N31" i="63" s="1"/>
  <c r="M72" i="63"/>
  <c r="M31" i="63" s="1"/>
  <c r="L72" i="63"/>
  <c r="K72" i="63"/>
  <c r="J72" i="63"/>
  <c r="I72" i="63"/>
  <c r="H72" i="63"/>
  <c r="G72" i="63"/>
  <c r="F72" i="63"/>
  <c r="F31" i="63" s="1"/>
  <c r="E72" i="63"/>
  <c r="E31" i="63" s="1"/>
  <c r="D72" i="63"/>
  <c r="Q72" i="63" s="1"/>
  <c r="B72" i="63"/>
  <c r="Q71" i="63"/>
  <c r="B71" i="63"/>
  <c r="Q70" i="63"/>
  <c r="B70" i="63"/>
  <c r="O69" i="63"/>
  <c r="N69" i="63"/>
  <c r="M69" i="63"/>
  <c r="L69" i="63"/>
  <c r="K69" i="63"/>
  <c r="J69" i="63"/>
  <c r="I69" i="63"/>
  <c r="H69" i="63"/>
  <c r="G69" i="63"/>
  <c r="Q69" i="63" s="1"/>
  <c r="F69" i="63"/>
  <c r="E69" i="63"/>
  <c r="D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Q66" i="63" s="1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O41" i="63"/>
  <c r="N41" i="63"/>
  <c r="M41" i="63"/>
  <c r="L41" i="63"/>
  <c r="L31" i="63" s="1"/>
  <c r="K41" i="63"/>
  <c r="K31" i="63" s="1"/>
  <c r="J41" i="63"/>
  <c r="I41" i="63"/>
  <c r="H41" i="63"/>
  <c r="G41" i="63"/>
  <c r="F41" i="63"/>
  <c r="E41" i="63"/>
  <c r="D41" i="63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Q32" i="63" s="1"/>
  <c r="B32" i="63"/>
  <c r="O31" i="63"/>
  <c r="H31" i="63"/>
  <c r="G31" i="63"/>
  <c r="L29" i="63"/>
  <c r="E29" i="63"/>
  <c r="I28" i="63"/>
  <c r="I29" i="63" s="1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Q16" i="63" s="1"/>
  <c r="B17" i="63"/>
  <c r="O16" i="63"/>
  <c r="N16" i="63"/>
  <c r="M16" i="63"/>
  <c r="L16" i="63"/>
  <c r="K16" i="63"/>
  <c r="J16" i="63"/>
  <c r="J28" i="63" s="1"/>
  <c r="I16" i="63"/>
  <c r="H16" i="63"/>
  <c r="G16" i="63"/>
  <c r="F16" i="63"/>
  <c r="E16" i="63"/>
  <c r="D16" i="63"/>
  <c r="I14" i="63"/>
  <c r="Q14" i="63" s="1"/>
  <c r="H14" i="63"/>
  <c r="G14" i="63"/>
  <c r="F14" i="63"/>
  <c r="E14" i="63"/>
  <c r="D14" i="63"/>
  <c r="B14" i="63"/>
  <c r="I13" i="63"/>
  <c r="Q13" i="63" s="1"/>
  <c r="H13" i="63"/>
  <c r="G13" i="63"/>
  <c r="F13" i="63"/>
  <c r="E13" i="63"/>
  <c r="D13" i="63"/>
  <c r="B13" i="63"/>
  <c r="I12" i="63"/>
  <c r="Q12" i="63" s="1"/>
  <c r="H12" i="63"/>
  <c r="G12" i="63"/>
  <c r="F12" i="63"/>
  <c r="E12" i="63"/>
  <c r="D12" i="63"/>
  <c r="B12" i="63"/>
  <c r="I11" i="63"/>
  <c r="I10" i="63" s="1"/>
  <c r="H11" i="63"/>
  <c r="G11" i="63"/>
  <c r="F11" i="63"/>
  <c r="E11" i="63"/>
  <c r="D11" i="63"/>
  <c r="B11" i="63"/>
  <c r="O10" i="63"/>
  <c r="O28" i="63" s="1"/>
  <c r="N10" i="63"/>
  <c r="N28" i="63" s="1"/>
  <c r="M10" i="63"/>
  <c r="M28" i="63" s="1"/>
  <c r="L10" i="63"/>
  <c r="L28" i="63" s="1"/>
  <c r="L82" i="63" s="1"/>
  <c r="L87" i="63" s="1"/>
  <c r="L88" i="63" s="1"/>
  <c r="K10" i="63"/>
  <c r="K28" i="63" s="1"/>
  <c r="J10" i="63"/>
  <c r="H10" i="63"/>
  <c r="H28" i="63" s="1"/>
  <c r="G10" i="63"/>
  <c r="G28" i="63" s="1"/>
  <c r="F10" i="63"/>
  <c r="F28" i="63" s="1"/>
  <c r="E10" i="63"/>
  <c r="E28" i="63" s="1"/>
  <c r="E82" i="63" s="1"/>
  <c r="E87" i="63" s="1"/>
  <c r="E88" i="63" s="1"/>
  <c r="D10" i="63"/>
  <c r="D28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1" i="62"/>
  <c r="Q96" i="62"/>
  <c r="I96" i="62"/>
  <c r="H96" i="62"/>
  <c r="G96" i="62"/>
  <c r="F96" i="62"/>
  <c r="E96" i="62"/>
  <c r="D96" i="62"/>
  <c r="Q94" i="62"/>
  <c r="B94" i="62"/>
  <c r="O93" i="62"/>
  <c r="N93" i="62"/>
  <c r="M93" i="62"/>
  <c r="L93" i="62"/>
  <c r="K93" i="62"/>
  <c r="J93" i="62"/>
  <c r="J18" i="62" s="1"/>
  <c r="I93" i="62"/>
  <c r="H93" i="62"/>
  <c r="G93" i="62"/>
  <c r="F93" i="62"/>
  <c r="E93" i="62"/>
  <c r="D93" i="62"/>
  <c r="B93" i="62"/>
  <c r="Q92" i="62"/>
  <c r="B92" i="62"/>
  <c r="Q91" i="62"/>
  <c r="B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B90" i="62"/>
  <c r="Q89" i="62"/>
  <c r="B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B88" i="62"/>
  <c r="Q87" i="62"/>
  <c r="B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B86" i="62"/>
  <c r="Q85" i="62"/>
  <c r="B85" i="62"/>
  <c r="Q84" i="62"/>
  <c r="B84" i="62"/>
  <c r="Q83" i="62"/>
  <c r="B83" i="62"/>
  <c r="Q82" i="62"/>
  <c r="B82" i="62"/>
  <c r="Q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B79" i="62"/>
  <c r="Q78" i="62"/>
  <c r="B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G74" i="62"/>
  <c r="Q74" i="62" s="1"/>
  <c r="F74" i="62"/>
  <c r="E74" i="62"/>
  <c r="D74" i="62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Q61" i="62" s="1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Q55" i="62" s="1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B53" i="62"/>
  <c r="Q52" i="62"/>
  <c r="B52" i="62"/>
  <c r="Q51" i="62"/>
  <c r="B51" i="62"/>
  <c r="O50" i="62"/>
  <c r="N50" i="62"/>
  <c r="M50" i="62"/>
  <c r="L50" i="62"/>
  <c r="K50" i="62"/>
  <c r="J50" i="62"/>
  <c r="I50" i="62"/>
  <c r="H50" i="62"/>
  <c r="G50" i="62"/>
  <c r="F50" i="62"/>
  <c r="F18" i="62" s="1"/>
  <c r="E50" i="62"/>
  <c r="D50" i="62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Q47" i="62" s="1"/>
  <c r="F47" i="62"/>
  <c r="E47" i="62"/>
  <c r="D47" i="62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B45" i="62"/>
  <c r="Q44" i="62"/>
  <c r="B44" i="62"/>
  <c r="O43" i="62"/>
  <c r="N43" i="62"/>
  <c r="M43" i="62"/>
  <c r="L43" i="62"/>
  <c r="K43" i="62"/>
  <c r="J43" i="62"/>
  <c r="I43" i="62"/>
  <c r="H43" i="62"/>
  <c r="G43" i="62"/>
  <c r="Q43" i="62" s="1"/>
  <c r="F43" i="62"/>
  <c r="E43" i="62"/>
  <c r="D43" i="62"/>
  <c r="B43" i="62"/>
  <c r="Q42" i="62"/>
  <c r="B42" i="62"/>
  <c r="O41" i="62"/>
  <c r="N41" i="62"/>
  <c r="M41" i="62"/>
  <c r="L41" i="62"/>
  <c r="K41" i="62"/>
  <c r="J41" i="62"/>
  <c r="I41" i="62"/>
  <c r="I18" i="62" s="1"/>
  <c r="H41" i="62"/>
  <c r="H18" i="62" s="1"/>
  <c r="G41" i="62"/>
  <c r="F41" i="62"/>
  <c r="E41" i="62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N18" i="62" s="1"/>
  <c r="M19" i="62"/>
  <c r="L19" i="62"/>
  <c r="L18" i="62" s="1"/>
  <c r="K19" i="62"/>
  <c r="K18" i="62" s="1"/>
  <c r="J19" i="62"/>
  <c r="I19" i="62"/>
  <c r="H19" i="62"/>
  <c r="G19" i="62"/>
  <c r="F19" i="62"/>
  <c r="E19" i="62"/>
  <c r="D19" i="62"/>
  <c r="Q19" i="62" s="1"/>
  <c r="B19" i="62"/>
  <c r="N16" i="62"/>
  <c r="H16" i="62"/>
  <c r="F16" i="62"/>
  <c r="N15" i="62"/>
  <c r="M15" i="62"/>
  <c r="K15" i="62"/>
  <c r="K16" i="62" s="1"/>
  <c r="F15" i="62"/>
  <c r="E15" i="62"/>
  <c r="Q13" i="62"/>
  <c r="Q12" i="62" s="1"/>
  <c r="B13" i="62"/>
  <c r="O12" i="62"/>
  <c r="N12" i="62"/>
  <c r="M12" i="62"/>
  <c r="L12" i="62"/>
  <c r="L15" i="62" s="1"/>
  <c r="K12" i="62"/>
  <c r="J12" i="62"/>
  <c r="I12" i="62"/>
  <c r="H12" i="62"/>
  <c r="G12" i="62"/>
  <c r="F12" i="62"/>
  <c r="E12" i="62"/>
  <c r="D12" i="62"/>
  <c r="D15" i="62" s="1"/>
  <c r="Q10" i="62"/>
  <c r="Q15" i="62" s="1"/>
  <c r="Q16" i="62" s="1"/>
  <c r="O10" i="62"/>
  <c r="O15" i="62" s="1"/>
  <c r="N10" i="62"/>
  <c r="M10" i="62"/>
  <c r="L10" i="62"/>
  <c r="K10" i="62"/>
  <c r="J10" i="62"/>
  <c r="J15" i="62" s="1"/>
  <c r="I10" i="62"/>
  <c r="I15" i="62" s="1"/>
  <c r="H10" i="62"/>
  <c r="H15" i="62" s="1"/>
  <c r="H98" i="62" s="1"/>
  <c r="G10" i="62"/>
  <c r="G15" i="62" s="1"/>
  <c r="F10" i="62"/>
  <c r="E10" i="62"/>
  <c r="D10" i="62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M52" i="61"/>
  <c r="Q50" i="61"/>
  <c r="I50" i="61"/>
  <c r="H50" i="61"/>
  <c r="G50" i="61"/>
  <c r="F50" i="61"/>
  <c r="E50" i="6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B46" i="61"/>
  <c r="Q45" i="61"/>
  <c r="B45" i="61"/>
  <c r="O44" i="61"/>
  <c r="N44" i="61"/>
  <c r="M44" i="61"/>
  <c r="L44" i="61"/>
  <c r="L17" i="61" s="1"/>
  <c r="K44" i="61"/>
  <c r="J44" i="61"/>
  <c r="I44" i="61"/>
  <c r="H44" i="61"/>
  <c r="G44" i="61"/>
  <c r="F44" i="61"/>
  <c r="E44" i="61"/>
  <c r="D44" i="61"/>
  <c r="D17" i="61" s="1"/>
  <c r="B44" i="61"/>
  <c r="Q43" i="61"/>
  <c r="B43" i="61"/>
  <c r="Q42" i="61"/>
  <c r="B42" i="61"/>
  <c r="O41" i="61"/>
  <c r="N41" i="61"/>
  <c r="M41" i="61"/>
  <c r="M17" i="61" s="1"/>
  <c r="L41" i="61"/>
  <c r="K41" i="61"/>
  <c r="J41" i="61"/>
  <c r="I41" i="61"/>
  <c r="H41" i="61"/>
  <c r="G41" i="61"/>
  <c r="F41" i="61"/>
  <c r="E41" i="61"/>
  <c r="Q41" i="61" s="1"/>
  <c r="D41" i="61"/>
  <c r="B41" i="61"/>
  <c r="Q40" i="61"/>
  <c r="B40" i="61"/>
  <c r="O39" i="61"/>
  <c r="N39" i="61"/>
  <c r="M39" i="61"/>
  <c r="L39" i="61"/>
  <c r="K39" i="61"/>
  <c r="J39" i="61"/>
  <c r="I39" i="61"/>
  <c r="H39" i="61"/>
  <c r="G39" i="6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J18" i="61"/>
  <c r="J17" i="61" s="1"/>
  <c r="I18" i="61"/>
  <c r="I17" i="61" s="1"/>
  <c r="H18" i="61"/>
  <c r="H17" i="61" s="1"/>
  <c r="G18" i="61"/>
  <c r="F18" i="61"/>
  <c r="E18" i="61"/>
  <c r="D18" i="61"/>
  <c r="B18" i="61"/>
  <c r="O17" i="61"/>
  <c r="N17" i="61"/>
  <c r="G17" i="61"/>
  <c r="F17" i="61"/>
  <c r="Q14" i="61"/>
  <c r="Q15" i="61" s="1"/>
  <c r="O14" i="61"/>
  <c r="H14" i="61"/>
  <c r="H15" i="61" s="1"/>
  <c r="G14" i="61"/>
  <c r="Q12" i="61"/>
  <c r="O12" i="61"/>
  <c r="N12" i="61"/>
  <c r="M12" i="61"/>
  <c r="M14" i="61" s="1"/>
  <c r="M15" i="61" s="1"/>
  <c r="L12" i="61"/>
  <c r="K12" i="61"/>
  <c r="J12" i="61"/>
  <c r="I12" i="61"/>
  <c r="H12" i="61"/>
  <c r="G12" i="61"/>
  <c r="F12" i="61"/>
  <c r="E12" i="61"/>
  <c r="E14" i="61" s="1"/>
  <c r="E15" i="61" s="1"/>
  <c r="D12" i="61"/>
  <c r="Q10" i="61"/>
  <c r="O10" i="61"/>
  <c r="N10" i="61"/>
  <c r="N14" i="61" s="1"/>
  <c r="M10" i="61"/>
  <c r="L10" i="61"/>
  <c r="K10" i="61"/>
  <c r="K14" i="61" s="1"/>
  <c r="J10" i="61"/>
  <c r="J14" i="61" s="1"/>
  <c r="J15" i="61" s="1"/>
  <c r="I10" i="61"/>
  <c r="I14" i="61" s="1"/>
  <c r="H10" i="61"/>
  <c r="G10" i="61"/>
  <c r="F10" i="61"/>
  <c r="F14" i="61" s="1"/>
  <c r="E10" i="6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O57" i="60"/>
  <c r="G57" i="60"/>
  <c r="I55" i="60"/>
  <c r="H55" i="60"/>
  <c r="G55" i="60"/>
  <c r="F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Q49" i="60" s="1"/>
  <c r="D49" i="60"/>
  <c r="B49" i="60"/>
  <c r="Q48" i="60"/>
  <c r="B48" i="60"/>
  <c r="O47" i="60"/>
  <c r="O17" i="60" s="1"/>
  <c r="N47" i="60"/>
  <c r="M47" i="60"/>
  <c r="L47" i="60"/>
  <c r="K47" i="60"/>
  <c r="J47" i="60"/>
  <c r="I47" i="60"/>
  <c r="H47" i="60"/>
  <c r="H17" i="60" s="1"/>
  <c r="G47" i="60"/>
  <c r="G17" i="60" s="1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Q39" i="60" s="1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N17" i="60" s="1"/>
  <c r="M18" i="60"/>
  <c r="M17" i="60" s="1"/>
  <c r="L18" i="60"/>
  <c r="L17" i="60" s="1"/>
  <c r="K18" i="60"/>
  <c r="J18" i="60"/>
  <c r="I18" i="60"/>
  <c r="H18" i="60"/>
  <c r="G18" i="60"/>
  <c r="F18" i="60"/>
  <c r="F17" i="60" s="1"/>
  <c r="E18" i="60"/>
  <c r="E17" i="60" s="1"/>
  <c r="D18" i="60"/>
  <c r="B18" i="60"/>
  <c r="K17" i="60"/>
  <c r="J17" i="60"/>
  <c r="I17" i="60"/>
  <c r="G15" i="60"/>
  <c r="L14" i="60"/>
  <c r="K14" i="60"/>
  <c r="D14" i="60"/>
  <c r="Q12" i="60"/>
  <c r="O12" i="60"/>
  <c r="N12" i="60"/>
  <c r="M12" i="60"/>
  <c r="L12" i="60"/>
  <c r="K12" i="60"/>
  <c r="J12" i="60"/>
  <c r="J14" i="60" s="1"/>
  <c r="I12" i="60"/>
  <c r="I14" i="60" s="1"/>
  <c r="H12" i="60"/>
  <c r="G12" i="60"/>
  <c r="F12" i="60"/>
  <c r="E12" i="60"/>
  <c r="D12" i="60"/>
  <c r="Q10" i="60"/>
  <c r="O10" i="60"/>
  <c r="O14" i="60" s="1"/>
  <c r="O15" i="60" s="1"/>
  <c r="N10" i="60"/>
  <c r="N14" i="60" s="1"/>
  <c r="M10" i="60"/>
  <c r="M14" i="60" s="1"/>
  <c r="L10" i="60"/>
  <c r="K10" i="60"/>
  <c r="J10" i="60"/>
  <c r="I10" i="60"/>
  <c r="H10" i="60"/>
  <c r="G10" i="60"/>
  <c r="G14" i="60" s="1"/>
  <c r="F10" i="60"/>
  <c r="F14" i="60" s="1"/>
  <c r="E10" i="60"/>
  <c r="E14" i="60" s="1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F68" i="59"/>
  <c r="Q66" i="59"/>
  <c r="I61" i="59"/>
  <c r="H61" i="59"/>
  <c r="Q61" i="59" s="1"/>
  <c r="G61" i="59"/>
  <c r="F61" i="59"/>
  <c r="E61" i="59"/>
  <c r="D61" i="59"/>
  <c r="Q59" i="59"/>
  <c r="B59" i="59"/>
  <c r="O58" i="59"/>
  <c r="N58" i="59"/>
  <c r="M58" i="59"/>
  <c r="L58" i="59"/>
  <c r="K58" i="59"/>
  <c r="J58" i="59"/>
  <c r="I58" i="59"/>
  <c r="H58" i="59"/>
  <c r="G58" i="59"/>
  <c r="Q58" i="59" s="1"/>
  <c r="F58" i="59"/>
  <c r="E58" i="59"/>
  <c r="D58" i="59"/>
  <c r="B58" i="59"/>
  <c r="Q57" i="59"/>
  <c r="B57" i="59"/>
  <c r="O56" i="59"/>
  <c r="N56" i="59"/>
  <c r="M56" i="59"/>
  <c r="L56" i="59"/>
  <c r="K56" i="59"/>
  <c r="J56" i="59"/>
  <c r="I56" i="59"/>
  <c r="H56" i="59"/>
  <c r="G56" i="59"/>
  <c r="Q56" i="59" s="1"/>
  <c r="F56" i="59"/>
  <c r="E56" i="59"/>
  <c r="D56" i="59"/>
  <c r="B56" i="59"/>
  <c r="Q55" i="59"/>
  <c r="B55" i="59"/>
  <c r="Q54" i="59"/>
  <c r="B54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B53" i="59"/>
  <c r="Q52" i="59"/>
  <c r="B52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Q51" i="59" s="1"/>
  <c r="B51" i="59"/>
  <c r="Q50" i="59"/>
  <c r="B50" i="59"/>
  <c r="O49" i="59"/>
  <c r="N49" i="59"/>
  <c r="M49" i="59"/>
  <c r="L49" i="59"/>
  <c r="K49" i="59"/>
  <c r="K17" i="59" s="1"/>
  <c r="K63" i="59" s="1"/>
  <c r="J49" i="59"/>
  <c r="I49" i="59"/>
  <c r="H49" i="59"/>
  <c r="G49" i="59"/>
  <c r="F49" i="59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Q44" i="59" s="1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I17" i="59" s="1"/>
  <c r="H42" i="59"/>
  <c r="H17" i="59" s="1"/>
  <c r="G42" i="59"/>
  <c r="F42" i="59"/>
  <c r="E42" i="59"/>
  <c r="D42" i="59"/>
  <c r="B42" i="59"/>
  <c r="Q41" i="59"/>
  <c r="B41" i="59"/>
  <c r="Q40" i="59"/>
  <c r="B40" i="59"/>
  <c r="O39" i="59"/>
  <c r="N39" i="59"/>
  <c r="M39" i="59"/>
  <c r="L39" i="59"/>
  <c r="K39" i="59"/>
  <c r="J39" i="59"/>
  <c r="J17" i="59" s="1"/>
  <c r="I39" i="59"/>
  <c r="H39" i="59"/>
  <c r="G39" i="59"/>
  <c r="F39" i="59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N17" i="59" s="1"/>
  <c r="M18" i="59"/>
  <c r="L18" i="59"/>
  <c r="L17" i="59" s="1"/>
  <c r="K18" i="59"/>
  <c r="J18" i="59"/>
  <c r="I18" i="59"/>
  <c r="H18" i="59"/>
  <c r="G18" i="59"/>
  <c r="F18" i="59"/>
  <c r="F17" i="59" s="1"/>
  <c r="E18" i="59"/>
  <c r="D18" i="59"/>
  <c r="B18" i="59"/>
  <c r="F15" i="59"/>
  <c r="L14" i="59"/>
  <c r="K14" i="59"/>
  <c r="K15" i="59" s="1"/>
  <c r="D14" i="59"/>
  <c r="Q12" i="59"/>
  <c r="O12" i="59"/>
  <c r="N12" i="59"/>
  <c r="M12" i="59"/>
  <c r="L12" i="59"/>
  <c r="K12" i="59"/>
  <c r="J12" i="59"/>
  <c r="I12" i="59"/>
  <c r="I14" i="59" s="1"/>
  <c r="H12" i="59"/>
  <c r="G12" i="59"/>
  <c r="F12" i="59"/>
  <c r="E12" i="59"/>
  <c r="D12" i="59"/>
  <c r="Q10" i="59"/>
  <c r="O10" i="59"/>
  <c r="O14" i="59" s="1"/>
  <c r="N10" i="59"/>
  <c r="N14" i="59" s="1"/>
  <c r="N63" i="59" s="1"/>
  <c r="N64" i="59" s="1"/>
  <c r="M10" i="59"/>
  <c r="M14" i="59" s="1"/>
  <c r="L10" i="59"/>
  <c r="K10" i="59"/>
  <c r="J10" i="59"/>
  <c r="J14" i="59" s="1"/>
  <c r="J15" i="59" s="1"/>
  <c r="I10" i="59"/>
  <c r="H10" i="59"/>
  <c r="G10" i="59"/>
  <c r="G14" i="59" s="1"/>
  <c r="G15" i="59" s="1"/>
  <c r="F10" i="59"/>
  <c r="F14" i="59" s="1"/>
  <c r="F63" i="59" s="1"/>
  <c r="F64" i="59" s="1"/>
  <c r="E10" i="59"/>
  <c r="E14" i="59" s="1"/>
  <c r="D10" i="59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6" i="58"/>
  <c r="I71" i="58"/>
  <c r="H71" i="58"/>
  <c r="Q71" i="58" s="1"/>
  <c r="G71" i="58"/>
  <c r="F71" i="58"/>
  <c r="E71" i="58"/>
  <c r="D71" i="58"/>
  <c r="Q69" i="58"/>
  <c r="B69" i="58"/>
  <c r="O68" i="58"/>
  <c r="N68" i="58"/>
  <c r="M68" i="58"/>
  <c r="L68" i="58"/>
  <c r="K68" i="58"/>
  <c r="J68" i="58"/>
  <c r="I68" i="58"/>
  <c r="H68" i="58"/>
  <c r="G68" i="58"/>
  <c r="Q68" i="58" s="1"/>
  <c r="F68" i="58"/>
  <c r="E68" i="58"/>
  <c r="D68" i="58"/>
  <c r="B68" i="58"/>
  <c r="Q67" i="58"/>
  <c r="B67" i="58"/>
  <c r="O66" i="58"/>
  <c r="N66" i="58"/>
  <c r="M66" i="58"/>
  <c r="L66" i="58"/>
  <c r="K66" i="58"/>
  <c r="J66" i="58"/>
  <c r="I66" i="58"/>
  <c r="H66" i="58"/>
  <c r="G66" i="58"/>
  <c r="Q66" i="58" s="1"/>
  <c r="F66" i="58"/>
  <c r="E66" i="58"/>
  <c r="D66" i="58"/>
  <c r="B66" i="58"/>
  <c r="Q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Q56" i="58" s="1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E17" i="58" s="1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N17" i="58" s="1"/>
  <c r="M29" i="58"/>
  <c r="L29" i="58"/>
  <c r="K29" i="58"/>
  <c r="J29" i="58"/>
  <c r="I29" i="58"/>
  <c r="H29" i="58"/>
  <c r="G29" i="58"/>
  <c r="F29" i="58"/>
  <c r="F17" i="58" s="1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K18" i="58"/>
  <c r="J18" i="58"/>
  <c r="J17" i="58" s="1"/>
  <c r="I18" i="58"/>
  <c r="I17" i="58" s="1"/>
  <c r="H18" i="58"/>
  <c r="H17" i="58" s="1"/>
  <c r="G18" i="58"/>
  <c r="F18" i="58"/>
  <c r="E18" i="58"/>
  <c r="D18" i="58"/>
  <c r="B18" i="58"/>
  <c r="O17" i="58"/>
  <c r="L15" i="58"/>
  <c r="J15" i="58"/>
  <c r="Q14" i="58"/>
  <c r="O14" i="58"/>
  <c r="H14" i="58"/>
  <c r="G14" i="58"/>
  <c r="Q12" i="58"/>
  <c r="O12" i="58"/>
  <c r="N12" i="58"/>
  <c r="N14" i="58" s="1"/>
  <c r="M12" i="58"/>
  <c r="L12" i="58"/>
  <c r="K12" i="58"/>
  <c r="J12" i="58"/>
  <c r="I12" i="58"/>
  <c r="H12" i="58"/>
  <c r="G12" i="58"/>
  <c r="F12" i="58"/>
  <c r="F14" i="58" s="1"/>
  <c r="E12" i="58"/>
  <c r="D12" i="58"/>
  <c r="Q10" i="58"/>
  <c r="O10" i="58"/>
  <c r="N10" i="58"/>
  <c r="M10" i="58"/>
  <c r="L10" i="58"/>
  <c r="L14" i="58" s="1"/>
  <c r="K10" i="58"/>
  <c r="K14" i="58" s="1"/>
  <c r="K15" i="58" s="1"/>
  <c r="J10" i="58"/>
  <c r="J14" i="58" s="1"/>
  <c r="I10" i="58"/>
  <c r="I14" i="58" s="1"/>
  <c r="H10" i="58"/>
  <c r="G10" i="58"/>
  <c r="F10" i="58"/>
  <c r="E10" i="58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9" i="57"/>
  <c r="I64" i="57"/>
  <c r="H64" i="57"/>
  <c r="G64" i="57"/>
  <c r="F64" i="57"/>
  <c r="E64" i="57"/>
  <c r="D64" i="57"/>
  <c r="Q62" i="57"/>
  <c r="B62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B61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Q59" i="57" s="1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B55" i="57"/>
  <c r="Q54" i="57"/>
  <c r="B54" i="57"/>
  <c r="O53" i="57"/>
  <c r="N53" i="57"/>
  <c r="N17" i="57" s="1"/>
  <c r="M53" i="57"/>
  <c r="L53" i="57"/>
  <c r="K53" i="57"/>
  <c r="J53" i="57"/>
  <c r="I53" i="57"/>
  <c r="H53" i="57"/>
  <c r="G53" i="57"/>
  <c r="F53" i="57"/>
  <c r="F17" i="57" s="1"/>
  <c r="E53" i="57"/>
  <c r="D53" i="57"/>
  <c r="B53" i="57"/>
  <c r="Q52" i="57"/>
  <c r="B52" i="57"/>
  <c r="Q51" i="57"/>
  <c r="B51" i="57"/>
  <c r="Q50" i="57"/>
  <c r="B50" i="57"/>
  <c r="O49" i="57"/>
  <c r="N49" i="57"/>
  <c r="M49" i="57"/>
  <c r="L49" i="57"/>
  <c r="K49" i="57"/>
  <c r="J49" i="57"/>
  <c r="I49" i="57"/>
  <c r="H49" i="57"/>
  <c r="Q49" i="57" s="1"/>
  <c r="G49" i="57"/>
  <c r="F49" i="57"/>
  <c r="E49" i="57"/>
  <c r="D49" i="57"/>
  <c r="B49" i="57"/>
  <c r="Q48" i="57"/>
  <c r="B48" i="57"/>
  <c r="O47" i="57"/>
  <c r="N47" i="57"/>
  <c r="M47" i="57"/>
  <c r="L47" i="57"/>
  <c r="K47" i="57"/>
  <c r="J47" i="57"/>
  <c r="I47" i="57"/>
  <c r="H47" i="57"/>
  <c r="Q47" i="57" s="1"/>
  <c r="G47" i="57"/>
  <c r="F47" i="57"/>
  <c r="E47" i="57"/>
  <c r="D47" i="57"/>
  <c r="B47" i="57"/>
  <c r="Q46" i="57"/>
  <c r="B46" i="57"/>
  <c r="O45" i="57"/>
  <c r="N45" i="57"/>
  <c r="M45" i="57"/>
  <c r="L45" i="57"/>
  <c r="K45" i="57"/>
  <c r="J45" i="57"/>
  <c r="I45" i="57"/>
  <c r="H45" i="57"/>
  <c r="Q45" i="57" s="1"/>
  <c r="G45" i="57"/>
  <c r="F45" i="57"/>
  <c r="E45" i="57"/>
  <c r="D45" i="57"/>
  <c r="B45" i="57"/>
  <c r="Q44" i="57"/>
  <c r="B44" i="57"/>
  <c r="O43" i="57"/>
  <c r="N43" i="57"/>
  <c r="M43" i="57"/>
  <c r="L43" i="57"/>
  <c r="K43" i="57"/>
  <c r="J43" i="57"/>
  <c r="I43" i="57"/>
  <c r="H43" i="57"/>
  <c r="Q43" i="57" s="1"/>
  <c r="G43" i="57"/>
  <c r="F43" i="57"/>
  <c r="E43" i="57"/>
  <c r="D43" i="57"/>
  <c r="B43" i="57"/>
  <c r="Q42" i="57"/>
  <c r="B42" i="57"/>
  <c r="O41" i="57"/>
  <c r="N41" i="57"/>
  <c r="M41" i="57"/>
  <c r="L41" i="57"/>
  <c r="K41" i="57"/>
  <c r="J41" i="57"/>
  <c r="I41" i="57"/>
  <c r="H41" i="57"/>
  <c r="Q41" i="57" s="1"/>
  <c r="G41" i="57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H39" i="57"/>
  <c r="Q39" i="57" s="1"/>
  <c r="G39" i="57"/>
  <c r="F39" i="57"/>
  <c r="E39" i="57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K18" i="57"/>
  <c r="J18" i="57"/>
  <c r="I18" i="57"/>
  <c r="I17" i="57" s="1"/>
  <c r="H18" i="57"/>
  <c r="G18" i="57"/>
  <c r="F18" i="57"/>
  <c r="E18" i="57"/>
  <c r="D18" i="57"/>
  <c r="B18" i="57"/>
  <c r="O17" i="57"/>
  <c r="G17" i="57"/>
  <c r="L15" i="57"/>
  <c r="E15" i="57"/>
  <c r="J14" i="57"/>
  <c r="I14" i="57"/>
  <c r="Q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Q10" i="57"/>
  <c r="Q14" i="57" s="1"/>
  <c r="O10" i="57"/>
  <c r="O14" i="57" s="1"/>
  <c r="N10" i="57"/>
  <c r="N14" i="57" s="1"/>
  <c r="M10" i="57"/>
  <c r="M14" i="57" s="1"/>
  <c r="M15" i="57" s="1"/>
  <c r="L10" i="57"/>
  <c r="L14" i="57" s="1"/>
  <c r="K10" i="57"/>
  <c r="K14" i="57" s="1"/>
  <c r="J10" i="57"/>
  <c r="I10" i="57"/>
  <c r="H10" i="57"/>
  <c r="H14" i="57" s="1"/>
  <c r="G10" i="57"/>
  <c r="G14" i="57" s="1"/>
  <c r="F10" i="57"/>
  <c r="F14" i="57" s="1"/>
  <c r="E10" i="57"/>
  <c r="E14" i="57" s="1"/>
  <c r="D10" i="57"/>
  <c r="D14" i="57" s="1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5" i="56"/>
  <c r="I70" i="56"/>
  <c r="H70" i="56"/>
  <c r="G70" i="56"/>
  <c r="F70" i="56"/>
  <c r="E70" i="56"/>
  <c r="D70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B67" i="56"/>
  <c r="Q66" i="56"/>
  <c r="B66" i="56"/>
  <c r="O65" i="56"/>
  <c r="N65" i="56"/>
  <c r="N17" i="56" s="1"/>
  <c r="M65" i="56"/>
  <c r="M17" i="56" s="1"/>
  <c r="L65" i="56"/>
  <c r="K65" i="56"/>
  <c r="J65" i="56"/>
  <c r="I65" i="56"/>
  <c r="H65" i="56"/>
  <c r="G65" i="56"/>
  <c r="F65" i="56"/>
  <c r="E65" i="56"/>
  <c r="Q65" i="56" s="1"/>
  <c r="D65" i="56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Q62" i="56" s="1"/>
  <c r="F62" i="56"/>
  <c r="E62" i="56"/>
  <c r="D62" i="56"/>
  <c r="B62" i="56"/>
  <c r="Q61" i="56"/>
  <c r="B61" i="56"/>
  <c r="O60" i="56"/>
  <c r="N60" i="56"/>
  <c r="M60" i="56"/>
  <c r="L60" i="56"/>
  <c r="K60" i="56"/>
  <c r="J60" i="56"/>
  <c r="I60" i="56"/>
  <c r="H60" i="56"/>
  <c r="G60" i="56"/>
  <c r="Q60" i="56" s="1"/>
  <c r="F60" i="56"/>
  <c r="E60" i="56"/>
  <c r="D60" i="56"/>
  <c r="B60" i="56"/>
  <c r="Q59" i="56"/>
  <c r="B59" i="56"/>
  <c r="Q58" i="56"/>
  <c r="B58" i="56"/>
  <c r="O57" i="56"/>
  <c r="N57" i="56"/>
  <c r="M57" i="56"/>
  <c r="L57" i="56"/>
  <c r="L17" i="56" s="1"/>
  <c r="K57" i="56"/>
  <c r="J57" i="56"/>
  <c r="I57" i="56"/>
  <c r="H57" i="56"/>
  <c r="G57" i="56"/>
  <c r="F57" i="56"/>
  <c r="E57" i="56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B51" i="56"/>
  <c r="Q50" i="56"/>
  <c r="B50" i="56"/>
  <c r="O49" i="56"/>
  <c r="N49" i="56"/>
  <c r="M49" i="56"/>
  <c r="L49" i="56"/>
  <c r="K49" i="56"/>
  <c r="J49" i="56"/>
  <c r="I49" i="56"/>
  <c r="H49" i="56"/>
  <c r="Q49" i="56" s="1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Q47" i="56" s="1"/>
  <c r="G47" i="56"/>
  <c r="F47" i="56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Q45" i="56" s="1"/>
  <c r="G45" i="56"/>
  <c r="F45" i="56"/>
  <c r="E45" i="56"/>
  <c r="D45" i="56"/>
  <c r="B45" i="56"/>
  <c r="Q44" i="56"/>
  <c r="B44" i="56"/>
  <c r="O43" i="56"/>
  <c r="N43" i="56"/>
  <c r="M43" i="56"/>
  <c r="L43" i="56"/>
  <c r="K43" i="56"/>
  <c r="J43" i="56"/>
  <c r="I43" i="56"/>
  <c r="H43" i="56"/>
  <c r="Q43" i="56" s="1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Q41" i="56" s="1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Q39" i="56" s="1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Q28" i="56" s="1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J18" i="56"/>
  <c r="J17" i="56" s="1"/>
  <c r="I18" i="56"/>
  <c r="H18" i="56"/>
  <c r="Q18" i="56" s="1"/>
  <c r="G18" i="56"/>
  <c r="F18" i="56"/>
  <c r="E18" i="56"/>
  <c r="D18" i="56"/>
  <c r="B18" i="56"/>
  <c r="F17" i="56"/>
  <c r="M15" i="56"/>
  <c r="Q14" i="56"/>
  <c r="Q15" i="56" s="1"/>
  <c r="J14" i="56"/>
  <c r="H14" i="56"/>
  <c r="H15" i="56" s="1"/>
  <c r="Q12" i="56"/>
  <c r="O12" i="56"/>
  <c r="O14" i="56" s="1"/>
  <c r="N12" i="56"/>
  <c r="N14" i="56" s="1"/>
  <c r="M12" i="56"/>
  <c r="L12" i="56"/>
  <c r="K12" i="56"/>
  <c r="J12" i="56"/>
  <c r="I12" i="56"/>
  <c r="H12" i="56"/>
  <c r="G12" i="56"/>
  <c r="G14" i="56" s="1"/>
  <c r="F12" i="56"/>
  <c r="F14" i="56" s="1"/>
  <c r="E12" i="56"/>
  <c r="D12" i="56"/>
  <c r="Q10" i="56"/>
  <c r="O10" i="56"/>
  <c r="N10" i="56"/>
  <c r="M10" i="56"/>
  <c r="M14" i="56" s="1"/>
  <c r="L10" i="56"/>
  <c r="L14" i="56" s="1"/>
  <c r="K10" i="56"/>
  <c r="K14" i="56" s="1"/>
  <c r="J10" i="56"/>
  <c r="I10" i="56"/>
  <c r="I14" i="56" s="1"/>
  <c r="H10" i="56"/>
  <c r="G10" i="56"/>
  <c r="F10" i="56"/>
  <c r="E10" i="56"/>
  <c r="E14" i="56" s="1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K39" i="55"/>
  <c r="K40" i="55" s="1"/>
  <c r="K35" i="55"/>
  <c r="K36" i="55" s="1"/>
  <c r="Q33" i="55"/>
  <c r="K31" i="55"/>
  <c r="I28" i="55"/>
  <c r="H28" i="55"/>
  <c r="G28" i="55"/>
  <c r="F28" i="55"/>
  <c r="E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Q21" i="55"/>
  <c r="B21" i="55"/>
  <c r="O20" i="55"/>
  <c r="O17" i="55" s="1"/>
  <c r="N20" i="55"/>
  <c r="M20" i="55"/>
  <c r="L20" i="55"/>
  <c r="K20" i="55"/>
  <c r="J20" i="55"/>
  <c r="I20" i="55"/>
  <c r="H20" i="55"/>
  <c r="G20" i="55"/>
  <c r="F20" i="55"/>
  <c r="E20" i="55"/>
  <c r="D20" i="55"/>
  <c r="B20" i="55"/>
  <c r="Q19" i="55"/>
  <c r="B19" i="55"/>
  <c r="O18" i="55"/>
  <c r="N18" i="55"/>
  <c r="M18" i="55"/>
  <c r="M17" i="55" s="1"/>
  <c r="L18" i="55"/>
  <c r="K18" i="55"/>
  <c r="J18" i="55"/>
  <c r="I18" i="55"/>
  <c r="H18" i="55"/>
  <c r="G18" i="55"/>
  <c r="F18" i="55"/>
  <c r="E18" i="55"/>
  <c r="Q18" i="55" s="1"/>
  <c r="D18" i="55"/>
  <c r="B18" i="55"/>
  <c r="N17" i="55"/>
  <c r="L17" i="55"/>
  <c r="K17" i="55"/>
  <c r="J17" i="55"/>
  <c r="H17" i="55"/>
  <c r="F17" i="55"/>
  <c r="D17" i="55"/>
  <c r="K15" i="55"/>
  <c r="Q14" i="55"/>
  <c r="O14" i="55"/>
  <c r="K14" i="55"/>
  <c r="K30" i="55" s="1"/>
  <c r="H14" i="55"/>
  <c r="E14" i="55"/>
  <c r="Q12" i="55"/>
  <c r="O12" i="55"/>
  <c r="N12" i="55"/>
  <c r="M12" i="55"/>
  <c r="M14" i="55" s="1"/>
  <c r="L12" i="55"/>
  <c r="L14" i="55" s="1"/>
  <c r="K12" i="55"/>
  <c r="J12" i="55"/>
  <c r="I12" i="55"/>
  <c r="H12" i="55"/>
  <c r="G12" i="55"/>
  <c r="F12" i="55"/>
  <c r="E12" i="55"/>
  <c r="D12" i="55"/>
  <c r="D14" i="55" s="1"/>
  <c r="Q10" i="55"/>
  <c r="O10" i="55"/>
  <c r="N10" i="55"/>
  <c r="N14" i="55" s="1"/>
  <c r="N15" i="55" s="1"/>
  <c r="M10" i="55"/>
  <c r="L10" i="55"/>
  <c r="K10" i="55"/>
  <c r="J10" i="55"/>
  <c r="I10" i="55"/>
  <c r="I14" i="55" s="1"/>
  <c r="H10" i="55"/>
  <c r="G10" i="55"/>
  <c r="G14" i="55" s="1"/>
  <c r="F10" i="55"/>
  <c r="F14" i="55" s="1"/>
  <c r="E10" i="55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Q30" i="54" s="1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Q24" i="54"/>
  <c r="O21" i="54"/>
  <c r="I19" i="54"/>
  <c r="H19" i="54"/>
  <c r="G19" i="54"/>
  <c r="G21" i="54" s="1"/>
  <c r="F19" i="54"/>
  <c r="E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Q15" i="54"/>
  <c r="I15" i="54"/>
  <c r="F15" i="54"/>
  <c r="N14" i="54"/>
  <c r="N21" i="54" s="1"/>
  <c r="I14" i="54"/>
  <c r="I21" i="54" s="1"/>
  <c r="F14" i="54"/>
  <c r="Q12" i="54"/>
  <c r="O12" i="54"/>
  <c r="N12" i="54"/>
  <c r="M12" i="54"/>
  <c r="L12" i="54"/>
  <c r="K12" i="54"/>
  <c r="K14" i="54" s="1"/>
  <c r="J12" i="54"/>
  <c r="J14" i="54" s="1"/>
  <c r="I12" i="54"/>
  <c r="H12" i="54"/>
  <c r="G12" i="54"/>
  <c r="F12" i="54"/>
  <c r="E12" i="54"/>
  <c r="D12" i="54"/>
  <c r="Q10" i="54"/>
  <c r="Q14" i="54" s="1"/>
  <c r="O10" i="54"/>
  <c r="O14" i="54" s="1"/>
  <c r="O15" i="54" s="1"/>
  <c r="N10" i="54"/>
  <c r="M10" i="54"/>
  <c r="M14" i="54" s="1"/>
  <c r="L10" i="54"/>
  <c r="L14" i="54" s="1"/>
  <c r="K10" i="54"/>
  <c r="J10" i="54"/>
  <c r="I10" i="54"/>
  <c r="H10" i="54"/>
  <c r="H14" i="54" s="1"/>
  <c r="G10" i="54"/>
  <c r="G14" i="54" s="1"/>
  <c r="G15" i="54" s="1"/>
  <c r="F10" i="54"/>
  <c r="E10" i="54"/>
  <c r="E14" i="54" s="1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8" i="51"/>
  <c r="I73" i="51"/>
  <c r="H73" i="51"/>
  <c r="G73" i="51"/>
  <c r="F73" i="51"/>
  <c r="E73" i="51"/>
  <c r="D73" i="51"/>
  <c r="Q71" i="51"/>
  <c r="B71" i="51"/>
  <c r="O70" i="51"/>
  <c r="N70" i="51"/>
  <c r="M70" i="51"/>
  <c r="L70" i="51"/>
  <c r="L32" i="51" s="1"/>
  <c r="K70" i="51"/>
  <c r="J70" i="51"/>
  <c r="I70" i="51"/>
  <c r="H70" i="51"/>
  <c r="G70" i="51"/>
  <c r="F70" i="51"/>
  <c r="E70" i="51"/>
  <c r="D70" i="51"/>
  <c r="B70" i="51"/>
  <c r="Q69" i="51"/>
  <c r="B69" i="51"/>
  <c r="Q68" i="51"/>
  <c r="B68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B67" i="51"/>
  <c r="Q66" i="51"/>
  <c r="B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B65" i="51"/>
  <c r="Q64" i="51"/>
  <c r="B64" i="51"/>
  <c r="O63" i="51"/>
  <c r="N63" i="51"/>
  <c r="M63" i="51"/>
  <c r="L63" i="51"/>
  <c r="K63" i="51"/>
  <c r="J63" i="51"/>
  <c r="I63" i="51"/>
  <c r="H63" i="51"/>
  <c r="G63" i="51"/>
  <c r="F63" i="51"/>
  <c r="E63" i="51"/>
  <c r="Q63" i="51" s="1"/>
  <c r="D63" i="51"/>
  <c r="B63" i="51"/>
  <c r="Q62" i="51"/>
  <c r="B62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B59" i="51"/>
  <c r="Q58" i="51"/>
  <c r="B58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B57" i="51"/>
  <c r="Q56" i="51"/>
  <c r="B56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M44" i="51"/>
  <c r="L44" i="51"/>
  <c r="K44" i="51"/>
  <c r="J44" i="51"/>
  <c r="I44" i="51"/>
  <c r="H44" i="51"/>
  <c r="H32" i="51" s="1"/>
  <c r="G44" i="51"/>
  <c r="G32" i="51" s="1"/>
  <c r="F44" i="51"/>
  <c r="E44" i="51"/>
  <c r="D44" i="5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N33" i="51"/>
  <c r="M33" i="51"/>
  <c r="L33" i="51"/>
  <c r="K33" i="51"/>
  <c r="J33" i="51"/>
  <c r="J32" i="51" s="1"/>
  <c r="I33" i="51"/>
  <c r="I32" i="51" s="1"/>
  <c r="H33" i="51"/>
  <c r="G33" i="51"/>
  <c r="F33" i="51"/>
  <c r="E33" i="51"/>
  <c r="D33" i="51"/>
  <c r="B33" i="51"/>
  <c r="O32" i="51"/>
  <c r="M32" i="51"/>
  <c r="M30" i="51"/>
  <c r="E30" i="51"/>
  <c r="D30" i="51"/>
  <c r="G29" i="5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B19" i="51"/>
  <c r="Q18" i="51"/>
  <c r="Q17" i="51" s="1"/>
  <c r="B18" i="51"/>
  <c r="O17" i="51"/>
  <c r="N17" i="51"/>
  <c r="N29" i="51" s="1"/>
  <c r="N30" i="51" s="1"/>
  <c r="M17" i="51"/>
  <c r="L17" i="51"/>
  <c r="K17" i="51"/>
  <c r="J17" i="51"/>
  <c r="J29" i="51" s="1"/>
  <c r="I17" i="51"/>
  <c r="H17" i="51"/>
  <c r="G17" i="51"/>
  <c r="F17" i="51"/>
  <c r="E17" i="51"/>
  <c r="D17" i="51"/>
  <c r="I15" i="51"/>
  <c r="Q15" i="51" s="1"/>
  <c r="H15" i="51"/>
  <c r="G15" i="51"/>
  <c r="F15" i="51"/>
  <c r="E15" i="51"/>
  <c r="D15" i="51"/>
  <c r="B15" i="51"/>
  <c r="I14" i="51"/>
  <c r="Q14" i="51" s="1"/>
  <c r="H14" i="51"/>
  <c r="G14" i="51"/>
  <c r="F14" i="51"/>
  <c r="E14" i="51"/>
  <c r="D14" i="51"/>
  <c r="B14" i="51"/>
  <c r="I13" i="51"/>
  <c r="Q13" i="51" s="1"/>
  <c r="H13" i="51"/>
  <c r="G13" i="51"/>
  <c r="F13" i="51"/>
  <c r="E13" i="51"/>
  <c r="D13" i="51"/>
  <c r="B13" i="51"/>
  <c r="I12" i="51"/>
  <c r="Q12" i="51" s="1"/>
  <c r="H12" i="51"/>
  <c r="G12" i="51"/>
  <c r="F12" i="51"/>
  <c r="E12" i="51"/>
  <c r="D12" i="51"/>
  <c r="B12" i="51"/>
  <c r="I11" i="51"/>
  <c r="H11" i="51"/>
  <c r="G11" i="51"/>
  <c r="F11" i="51"/>
  <c r="F10" i="51" s="1"/>
  <c r="F29" i="51" s="1"/>
  <c r="F30" i="51" s="1"/>
  <c r="E11" i="51"/>
  <c r="D11" i="51"/>
  <c r="B11" i="51"/>
  <c r="O10" i="51"/>
  <c r="O29" i="51" s="1"/>
  <c r="N10" i="51"/>
  <c r="M10" i="51"/>
  <c r="M29" i="51" s="1"/>
  <c r="M75" i="51" s="1"/>
  <c r="L10" i="51"/>
  <c r="L29" i="51" s="1"/>
  <c r="L75" i="51" s="1"/>
  <c r="K10" i="51"/>
  <c r="K29" i="51" s="1"/>
  <c r="K30" i="51" s="1"/>
  <c r="J10" i="51"/>
  <c r="H10" i="51"/>
  <c r="H29" i="51" s="1"/>
  <c r="G10" i="51"/>
  <c r="E10" i="51"/>
  <c r="E29" i="51" s="1"/>
  <c r="D10" i="51"/>
  <c r="D29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5" i="48"/>
  <c r="E72" i="48"/>
  <c r="I70" i="48"/>
  <c r="H70" i="48"/>
  <c r="G70" i="48"/>
  <c r="F70" i="48"/>
  <c r="E70" i="48"/>
  <c r="D70" i="48"/>
  <c r="Q70" i="48" s="1"/>
  <c r="Q68" i="48"/>
  <c r="B68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B67" i="48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B65" i="48"/>
  <c r="Q64" i="48"/>
  <c r="B64" i="48"/>
  <c r="Q63" i="48"/>
  <c r="B63" i="48"/>
  <c r="Q62" i="48"/>
  <c r="B62" i="48"/>
  <c r="O61" i="48"/>
  <c r="N61" i="48"/>
  <c r="M61" i="48"/>
  <c r="L61" i="48"/>
  <c r="K61" i="48"/>
  <c r="J61" i="48"/>
  <c r="I61" i="48"/>
  <c r="H61" i="48"/>
  <c r="G61" i="48"/>
  <c r="F61" i="48"/>
  <c r="E61" i="48"/>
  <c r="D61" i="48"/>
  <c r="Q61" i="48" s="1"/>
  <c r="B61" i="48"/>
  <c r="Q60" i="48"/>
  <c r="B60" i="48"/>
  <c r="O59" i="48"/>
  <c r="N59" i="48"/>
  <c r="M59" i="48"/>
  <c r="L59" i="48"/>
  <c r="L18" i="48" s="1"/>
  <c r="K59" i="48"/>
  <c r="J59" i="48"/>
  <c r="I59" i="48"/>
  <c r="H59" i="48"/>
  <c r="G59" i="48"/>
  <c r="F59" i="48"/>
  <c r="E59" i="48"/>
  <c r="D59" i="48"/>
  <c r="Q59" i="48" s="1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G56" i="48"/>
  <c r="F56" i="48"/>
  <c r="Q56" i="48" s="1"/>
  <c r="E56" i="48"/>
  <c r="D56" i="48"/>
  <c r="B56" i="48"/>
  <c r="Q55" i="48"/>
  <c r="B55" i="48"/>
  <c r="O54" i="48"/>
  <c r="N54" i="48"/>
  <c r="M54" i="48"/>
  <c r="L54" i="48"/>
  <c r="K54" i="48"/>
  <c r="J54" i="48"/>
  <c r="I54" i="48"/>
  <c r="H54" i="48"/>
  <c r="G54" i="48"/>
  <c r="F54" i="48"/>
  <c r="Q54" i="48" s="1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G52" i="48"/>
  <c r="F52" i="48"/>
  <c r="Q52" i="48" s="1"/>
  <c r="E52" i="48"/>
  <c r="D52" i="48"/>
  <c r="B52" i="48"/>
  <c r="Q51" i="48"/>
  <c r="B51" i="48"/>
  <c r="O50" i="48"/>
  <c r="N50" i="48"/>
  <c r="M50" i="48"/>
  <c r="L50" i="48"/>
  <c r="K50" i="48"/>
  <c r="J50" i="48"/>
  <c r="I50" i="48"/>
  <c r="I18" i="48" s="1"/>
  <c r="H50" i="48"/>
  <c r="G50" i="48"/>
  <c r="F50" i="48"/>
  <c r="Q50" i="48" s="1"/>
  <c r="E50" i="48"/>
  <c r="D50" i="48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Q47" i="48" s="1"/>
  <c r="G47" i="48"/>
  <c r="F47" i="48"/>
  <c r="E47" i="48"/>
  <c r="D47" i="48"/>
  <c r="B47" i="48"/>
  <c r="Q46" i="48"/>
  <c r="B46" i="48"/>
  <c r="O45" i="48"/>
  <c r="N45" i="48"/>
  <c r="M45" i="48"/>
  <c r="L45" i="48"/>
  <c r="K45" i="48"/>
  <c r="J45" i="48"/>
  <c r="I45" i="48"/>
  <c r="H45" i="48"/>
  <c r="Q45" i="48" s="1"/>
  <c r="G45" i="48"/>
  <c r="F45" i="48"/>
  <c r="E45" i="48"/>
  <c r="D45" i="48"/>
  <c r="B45" i="48"/>
  <c r="Q44" i="48"/>
  <c r="B44" i="48"/>
  <c r="O43" i="48"/>
  <c r="N43" i="48"/>
  <c r="M43" i="48"/>
  <c r="L43" i="48"/>
  <c r="K43" i="48"/>
  <c r="J43" i="48"/>
  <c r="I43" i="48"/>
  <c r="H43" i="48"/>
  <c r="Q43" i="48" s="1"/>
  <c r="G43" i="48"/>
  <c r="F43" i="48"/>
  <c r="E43" i="48"/>
  <c r="D43" i="48"/>
  <c r="B43" i="48"/>
  <c r="Q42" i="48"/>
  <c r="B42" i="48"/>
  <c r="O41" i="48"/>
  <c r="N41" i="48"/>
  <c r="M41" i="48"/>
  <c r="L41" i="48"/>
  <c r="K41" i="48"/>
  <c r="J41" i="48"/>
  <c r="I41" i="48"/>
  <c r="H41" i="48"/>
  <c r="H18" i="48" s="1"/>
  <c r="G41" i="48"/>
  <c r="F41" i="48"/>
  <c r="E41" i="48"/>
  <c r="D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Q30" i="48" s="1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O18" i="48" s="1"/>
  <c r="N19" i="48"/>
  <c r="M19" i="48"/>
  <c r="L19" i="48"/>
  <c r="K19" i="48"/>
  <c r="J19" i="48"/>
  <c r="I19" i="48"/>
  <c r="H19" i="48"/>
  <c r="G19" i="48"/>
  <c r="G18" i="48" s="1"/>
  <c r="F19" i="48"/>
  <c r="E19" i="48"/>
  <c r="D19" i="48"/>
  <c r="Q19" i="48" s="1"/>
  <c r="B19" i="48"/>
  <c r="M18" i="48"/>
  <c r="E18" i="48"/>
  <c r="J16" i="48"/>
  <c r="G16" i="48"/>
  <c r="O15" i="48"/>
  <c r="L15" i="48"/>
  <c r="L16" i="48" s="1"/>
  <c r="J15" i="48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D15" i="48" s="1"/>
  <c r="D16" i="48" s="1"/>
  <c r="Q11" i="48"/>
  <c r="I11" i="48"/>
  <c r="H11" i="48"/>
  <c r="G11" i="48"/>
  <c r="G10" i="48" s="1"/>
  <c r="G15" i="48" s="1"/>
  <c r="G72" i="48" s="1"/>
  <c r="F11" i="48"/>
  <c r="E11" i="48"/>
  <c r="D11" i="48"/>
  <c r="B11" i="48"/>
  <c r="Q10" i="48"/>
  <c r="Q15" i="48" s="1"/>
  <c r="O10" i="48"/>
  <c r="N10" i="48"/>
  <c r="N15" i="48" s="1"/>
  <c r="M10" i="48"/>
  <c r="M15" i="48" s="1"/>
  <c r="L10" i="48"/>
  <c r="K10" i="48"/>
  <c r="J10" i="48"/>
  <c r="I10" i="48"/>
  <c r="I15" i="48" s="1"/>
  <c r="I16" i="48" s="1"/>
  <c r="H10" i="48"/>
  <c r="H15" i="48" s="1"/>
  <c r="F10" i="48"/>
  <c r="F15" i="48" s="1"/>
  <c r="E10" i="48"/>
  <c r="E15" i="48" s="1"/>
  <c r="E16" i="48" s="1"/>
  <c r="D10" i="48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99" i="45"/>
  <c r="I94" i="45"/>
  <c r="H94" i="45"/>
  <c r="G94" i="45"/>
  <c r="F94" i="45"/>
  <c r="E94" i="45"/>
  <c r="Q94" i="45" s="1"/>
  <c r="D94" i="45"/>
  <c r="Q92" i="45"/>
  <c r="B92" i="45"/>
  <c r="Q91" i="45"/>
  <c r="B91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B90" i="45"/>
  <c r="Q89" i="45"/>
  <c r="B89" i="45"/>
  <c r="O88" i="45"/>
  <c r="N88" i="45"/>
  <c r="M88" i="45"/>
  <c r="L88" i="45"/>
  <c r="K88" i="45"/>
  <c r="J88" i="45"/>
  <c r="I88" i="45"/>
  <c r="H88" i="45"/>
  <c r="G88" i="45"/>
  <c r="F88" i="45"/>
  <c r="E88" i="45"/>
  <c r="Q88" i="45" s="1"/>
  <c r="D88" i="45"/>
  <c r="B88" i="45"/>
  <c r="Q87" i="45"/>
  <c r="B87" i="45"/>
  <c r="Q86" i="45"/>
  <c r="B86" i="45"/>
  <c r="O85" i="45"/>
  <c r="N85" i="45"/>
  <c r="M85" i="45"/>
  <c r="L85" i="45"/>
  <c r="K85" i="45"/>
  <c r="J85" i="45"/>
  <c r="I85" i="45"/>
  <c r="H85" i="45"/>
  <c r="G85" i="45"/>
  <c r="Q85" i="45" s="1"/>
  <c r="F85" i="45"/>
  <c r="E85" i="45"/>
  <c r="D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Q78" i="45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Q76" i="45" s="1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I24" i="45" s="1"/>
  <c r="H71" i="45"/>
  <c r="G71" i="45"/>
  <c r="F71" i="45"/>
  <c r="E71" i="45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Q67" i="45" s="1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Q65" i="45" s="1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Q63" i="45" s="1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Q61" i="45" s="1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Q59" i="45" s="1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Q57" i="45" s="1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Q55" i="45" s="1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Q53" i="45" s="1"/>
  <c r="D53" i="45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Q51" i="45" s="1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Q49" i="45" s="1"/>
  <c r="D49" i="45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O24" i="45" s="1"/>
  <c r="N36" i="45"/>
  <c r="M36" i="45"/>
  <c r="L36" i="45"/>
  <c r="K36" i="45"/>
  <c r="J36" i="45"/>
  <c r="I36" i="45"/>
  <c r="H36" i="45"/>
  <c r="G36" i="45"/>
  <c r="G24" i="45" s="1"/>
  <c r="F36" i="45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L24" i="45" s="1"/>
  <c r="K25" i="45"/>
  <c r="J25" i="45"/>
  <c r="I25" i="45"/>
  <c r="H25" i="45"/>
  <c r="H24" i="45" s="1"/>
  <c r="G25" i="45"/>
  <c r="F25" i="45"/>
  <c r="E25" i="45"/>
  <c r="D25" i="45"/>
  <c r="B25" i="45"/>
  <c r="J24" i="45"/>
  <c r="O22" i="45"/>
  <c r="L21" i="45"/>
  <c r="K21" i="45"/>
  <c r="K22" i="45" s="1"/>
  <c r="Q19" i="45"/>
  <c r="B19" i="45"/>
  <c r="Q18" i="45"/>
  <c r="B18" i="45"/>
  <c r="Q17" i="45"/>
  <c r="Q16" i="45" s="1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I14" i="45"/>
  <c r="H14" i="45"/>
  <c r="G14" i="45"/>
  <c r="F14" i="45"/>
  <c r="E14" i="45"/>
  <c r="D14" i="45"/>
  <c r="B14" i="45"/>
  <c r="I13" i="45"/>
  <c r="H13" i="45"/>
  <c r="G13" i="45"/>
  <c r="F13" i="45"/>
  <c r="E13" i="45"/>
  <c r="Q13" i="45" s="1"/>
  <c r="D13" i="45"/>
  <c r="B13" i="45"/>
  <c r="I12" i="45"/>
  <c r="H12" i="45"/>
  <c r="G12" i="45"/>
  <c r="F12" i="45"/>
  <c r="E12" i="45"/>
  <c r="Q12" i="45" s="1"/>
  <c r="D12" i="45"/>
  <c r="B12" i="45"/>
  <c r="I11" i="45"/>
  <c r="H11" i="45"/>
  <c r="G11" i="45"/>
  <c r="F11" i="45"/>
  <c r="E11" i="45"/>
  <c r="D11" i="45"/>
  <c r="B11" i="45"/>
  <c r="O10" i="45"/>
  <c r="O21" i="45" s="1"/>
  <c r="N10" i="45"/>
  <c r="N21" i="45" s="1"/>
  <c r="N22" i="45" s="1"/>
  <c r="M10" i="45"/>
  <c r="M21" i="45" s="1"/>
  <c r="M22" i="45" s="1"/>
  <c r="L10" i="45"/>
  <c r="K10" i="45"/>
  <c r="J10" i="45"/>
  <c r="J21" i="45" s="1"/>
  <c r="I10" i="45"/>
  <c r="I21" i="45" s="1"/>
  <c r="H10" i="45"/>
  <c r="H21" i="45" s="1"/>
  <c r="G10" i="45"/>
  <c r="G21" i="45" s="1"/>
  <c r="D10" i="45"/>
  <c r="D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09" i="42"/>
  <c r="I104" i="42"/>
  <c r="H104" i="42"/>
  <c r="G104" i="42"/>
  <c r="F104" i="42"/>
  <c r="E104" i="42"/>
  <c r="D104" i="42"/>
  <c r="Q104" i="42" s="1"/>
  <c r="Q102" i="42"/>
  <c r="B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Q101" i="42" s="1"/>
  <c r="B101" i="42"/>
  <c r="Q100" i="42"/>
  <c r="B100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B99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B97" i="42"/>
  <c r="Q96" i="42"/>
  <c r="B96" i="42"/>
  <c r="Q95" i="42"/>
  <c r="B95" i="42"/>
  <c r="O94" i="42"/>
  <c r="N94" i="42"/>
  <c r="M94" i="42"/>
  <c r="L94" i="42"/>
  <c r="K94" i="42"/>
  <c r="J94" i="42"/>
  <c r="I94" i="42"/>
  <c r="H94" i="42"/>
  <c r="Q94" i="42" s="1"/>
  <c r="G94" i="42"/>
  <c r="F94" i="42"/>
  <c r="E94" i="42"/>
  <c r="D94" i="42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O84" i="42"/>
  <c r="N84" i="42"/>
  <c r="M84" i="42"/>
  <c r="L84" i="42"/>
  <c r="K84" i="42"/>
  <c r="J84" i="42"/>
  <c r="I84" i="42"/>
  <c r="H84" i="42"/>
  <c r="Q84" i="42" s="1"/>
  <c r="G84" i="42"/>
  <c r="F84" i="42"/>
  <c r="E84" i="42"/>
  <c r="D84" i="42"/>
  <c r="B84" i="42"/>
  <c r="Q83" i="42"/>
  <c r="B83" i="42"/>
  <c r="O82" i="42"/>
  <c r="N82" i="42"/>
  <c r="M82" i="42"/>
  <c r="L82" i="42"/>
  <c r="K82" i="42"/>
  <c r="J82" i="42"/>
  <c r="I82" i="42"/>
  <c r="H82" i="42"/>
  <c r="Q82" i="42" s="1"/>
  <c r="G82" i="42"/>
  <c r="F82" i="42"/>
  <c r="E82" i="42"/>
  <c r="D82" i="42"/>
  <c r="B82" i="42"/>
  <c r="Q81" i="42"/>
  <c r="B81" i="42"/>
  <c r="Q80" i="42"/>
  <c r="B80" i="42"/>
  <c r="Q79" i="42"/>
  <c r="B79" i="42"/>
  <c r="Q78" i="42"/>
  <c r="B78" i="42"/>
  <c r="Q77" i="42"/>
  <c r="B77" i="42"/>
  <c r="O76" i="42"/>
  <c r="N76" i="42"/>
  <c r="M76" i="42"/>
  <c r="L76" i="42"/>
  <c r="K76" i="42"/>
  <c r="J76" i="42"/>
  <c r="I76" i="42"/>
  <c r="H76" i="42"/>
  <c r="Q76" i="42" s="1"/>
  <c r="G76" i="42"/>
  <c r="F76" i="42"/>
  <c r="E76" i="42"/>
  <c r="D76" i="42"/>
  <c r="B76" i="42"/>
  <c r="Q75" i="42"/>
  <c r="B75" i="42"/>
  <c r="O74" i="42"/>
  <c r="N74" i="42"/>
  <c r="M74" i="42"/>
  <c r="L74" i="42"/>
  <c r="K74" i="42"/>
  <c r="J74" i="42"/>
  <c r="I74" i="42"/>
  <c r="H74" i="42"/>
  <c r="Q74" i="42" s="1"/>
  <c r="G74" i="42"/>
  <c r="F74" i="42"/>
  <c r="E74" i="42"/>
  <c r="D74" i="42"/>
  <c r="B74" i="42"/>
  <c r="Q73" i="42"/>
  <c r="B73" i="42"/>
  <c r="Q72" i="42"/>
  <c r="B72" i="42"/>
  <c r="Q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Q65" i="42" s="1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Q63" i="42" s="1"/>
  <c r="B63" i="42"/>
  <c r="Q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N25" i="42" s="1"/>
  <c r="M58" i="42"/>
  <c r="L58" i="42"/>
  <c r="K58" i="42"/>
  <c r="J58" i="42"/>
  <c r="I58" i="42"/>
  <c r="H58" i="42"/>
  <c r="G58" i="42"/>
  <c r="F58" i="42"/>
  <c r="E58" i="42"/>
  <c r="D58" i="42"/>
  <c r="B58" i="42"/>
  <c r="Q57" i="42"/>
  <c r="B57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Q56" i="42" s="1"/>
  <c r="B56" i="42"/>
  <c r="Q55" i="42"/>
  <c r="B55" i="42"/>
  <c r="Q54" i="42"/>
  <c r="B54" i="42"/>
  <c r="O53" i="42"/>
  <c r="N53" i="42"/>
  <c r="M53" i="42"/>
  <c r="L53" i="42"/>
  <c r="K53" i="42"/>
  <c r="J53" i="42"/>
  <c r="I53" i="42"/>
  <c r="H53" i="42"/>
  <c r="G53" i="42"/>
  <c r="F53" i="42"/>
  <c r="Q53" i="42" s="1"/>
  <c r="E53" i="42"/>
  <c r="D53" i="42"/>
  <c r="B53" i="42"/>
  <c r="Q52" i="42"/>
  <c r="B52" i="42"/>
  <c r="O51" i="42"/>
  <c r="N51" i="42"/>
  <c r="M51" i="42"/>
  <c r="L51" i="42"/>
  <c r="K51" i="42"/>
  <c r="J51" i="42"/>
  <c r="I51" i="42"/>
  <c r="H51" i="42"/>
  <c r="G51" i="42"/>
  <c r="F51" i="42"/>
  <c r="Q51" i="42" s="1"/>
  <c r="E51" i="42"/>
  <c r="D51" i="42"/>
  <c r="B51" i="42"/>
  <c r="Q50" i="42"/>
  <c r="B50" i="42"/>
  <c r="O49" i="42"/>
  <c r="N49" i="42"/>
  <c r="M49" i="42"/>
  <c r="L49" i="42"/>
  <c r="K49" i="42"/>
  <c r="J49" i="42"/>
  <c r="I49" i="42"/>
  <c r="H49" i="42"/>
  <c r="G49" i="42"/>
  <c r="F49" i="42"/>
  <c r="Q49" i="42" s="1"/>
  <c r="E49" i="42"/>
  <c r="D49" i="42"/>
  <c r="B49" i="42"/>
  <c r="Q48" i="42"/>
  <c r="B48" i="42"/>
  <c r="O47" i="42"/>
  <c r="N47" i="42"/>
  <c r="M47" i="42"/>
  <c r="L47" i="42"/>
  <c r="K47" i="42"/>
  <c r="K25" i="42" s="1"/>
  <c r="J47" i="42"/>
  <c r="I47" i="42"/>
  <c r="H47" i="42"/>
  <c r="G47" i="42"/>
  <c r="F47" i="42"/>
  <c r="F25" i="42" s="1"/>
  <c r="E47" i="42"/>
  <c r="D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O36" i="42"/>
  <c r="N36" i="42"/>
  <c r="M36" i="42"/>
  <c r="L36" i="42"/>
  <c r="K36" i="42"/>
  <c r="J36" i="42"/>
  <c r="I36" i="42"/>
  <c r="H36" i="42"/>
  <c r="Q36" i="42" s="1"/>
  <c r="G36" i="42"/>
  <c r="F36" i="42"/>
  <c r="E36" i="42"/>
  <c r="D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N26" i="42"/>
  <c r="M26" i="42"/>
  <c r="M25" i="42" s="1"/>
  <c r="L26" i="42"/>
  <c r="K26" i="42"/>
  <c r="J26" i="42"/>
  <c r="I26" i="42"/>
  <c r="I25" i="42" s="1"/>
  <c r="H26" i="42"/>
  <c r="G26" i="42"/>
  <c r="F26" i="42"/>
  <c r="E26" i="42"/>
  <c r="D26" i="42"/>
  <c r="B26" i="42"/>
  <c r="O25" i="42"/>
  <c r="H25" i="42"/>
  <c r="E25" i="42"/>
  <c r="L22" i="42"/>
  <c r="H22" i="42"/>
  <c r="Q20" i="42"/>
  <c r="B20" i="42"/>
  <c r="Q19" i="42"/>
  <c r="B19" i="42"/>
  <c r="Q18" i="42"/>
  <c r="Q17" i="42" s="1"/>
  <c r="B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I15" i="42"/>
  <c r="H15" i="42"/>
  <c r="G15" i="42"/>
  <c r="F15" i="42"/>
  <c r="E15" i="42"/>
  <c r="Q15" i="42" s="1"/>
  <c r="D15" i="42"/>
  <c r="B15" i="42"/>
  <c r="I14" i="42"/>
  <c r="H14" i="42"/>
  <c r="G14" i="42"/>
  <c r="F14" i="42"/>
  <c r="E14" i="42"/>
  <c r="D14" i="42"/>
  <c r="B14" i="42"/>
  <c r="I13" i="42"/>
  <c r="H13" i="42"/>
  <c r="G13" i="42"/>
  <c r="F13" i="42"/>
  <c r="E13" i="42"/>
  <c r="Q13" i="42" s="1"/>
  <c r="D13" i="42"/>
  <c r="B13" i="42"/>
  <c r="I12" i="42"/>
  <c r="H12" i="42"/>
  <c r="G12" i="42"/>
  <c r="F12" i="42"/>
  <c r="E12" i="42"/>
  <c r="Q12" i="42" s="1"/>
  <c r="D12" i="42"/>
  <c r="B12" i="42"/>
  <c r="I11" i="42"/>
  <c r="H11" i="42"/>
  <c r="G11" i="42"/>
  <c r="G10" i="42" s="1"/>
  <c r="G22" i="42" s="1"/>
  <c r="F11" i="42"/>
  <c r="F10" i="42" s="1"/>
  <c r="E11" i="42"/>
  <c r="D11" i="42"/>
  <c r="B11" i="42"/>
  <c r="O10" i="42"/>
  <c r="O22" i="42" s="1"/>
  <c r="N10" i="42"/>
  <c r="M10" i="42"/>
  <c r="M22" i="42" s="1"/>
  <c r="L10" i="42"/>
  <c r="K10" i="42"/>
  <c r="K22" i="42" s="1"/>
  <c r="J10" i="42"/>
  <c r="H10" i="42"/>
  <c r="E10" i="42"/>
  <c r="E22" i="42" s="1"/>
  <c r="D10" i="42"/>
  <c r="D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2" i="39"/>
  <c r="I107" i="39"/>
  <c r="H107" i="39"/>
  <c r="G107" i="39"/>
  <c r="F107" i="39"/>
  <c r="E107" i="39"/>
  <c r="D107" i="39"/>
  <c r="Q107" i="39" s="1"/>
  <c r="Q105" i="39"/>
  <c r="B105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B104" i="39"/>
  <c r="Q103" i="39"/>
  <c r="B103" i="39"/>
  <c r="O102" i="39"/>
  <c r="N102" i="39"/>
  <c r="M102" i="39"/>
  <c r="L102" i="39"/>
  <c r="K102" i="39"/>
  <c r="J102" i="39"/>
  <c r="I102" i="39"/>
  <c r="H102" i="39"/>
  <c r="G102" i="39"/>
  <c r="F102" i="39"/>
  <c r="E102" i="39"/>
  <c r="D102" i="39"/>
  <c r="B102" i="39"/>
  <c r="Q101" i="39"/>
  <c r="B101" i="39"/>
  <c r="O100" i="39"/>
  <c r="N100" i="39"/>
  <c r="M100" i="39"/>
  <c r="L100" i="39"/>
  <c r="K100" i="39"/>
  <c r="J100" i="39"/>
  <c r="I100" i="39"/>
  <c r="H100" i="39"/>
  <c r="G100" i="39"/>
  <c r="F100" i="39"/>
  <c r="E100" i="39"/>
  <c r="D100" i="39"/>
  <c r="Q100" i="39" s="1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G97" i="39"/>
  <c r="F97" i="39"/>
  <c r="E97" i="39"/>
  <c r="Q97" i="39" s="1"/>
  <c r="D97" i="39"/>
  <c r="B97" i="39"/>
  <c r="Q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B86" i="39"/>
  <c r="Q85" i="39"/>
  <c r="B85" i="39"/>
  <c r="O84" i="39"/>
  <c r="N84" i="39"/>
  <c r="M84" i="39"/>
  <c r="L84" i="39"/>
  <c r="K84" i="39"/>
  <c r="J84" i="39"/>
  <c r="I84" i="39"/>
  <c r="H84" i="39"/>
  <c r="G84" i="39"/>
  <c r="F84" i="39"/>
  <c r="E84" i="39"/>
  <c r="Q84" i="39" s="1"/>
  <c r="D84" i="39"/>
  <c r="B84" i="39"/>
  <c r="Q83" i="39"/>
  <c r="B83" i="39"/>
  <c r="Q82" i="39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Q78" i="39" s="1"/>
  <c r="D78" i="39"/>
  <c r="B78" i="39"/>
  <c r="Q77" i="39"/>
  <c r="B77" i="39"/>
  <c r="Q76" i="39"/>
  <c r="B76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B75" i="39"/>
  <c r="Q74" i="39"/>
  <c r="B74" i="39"/>
  <c r="Q73" i="39"/>
  <c r="B73" i="39"/>
  <c r="Q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Q70" i="39" s="1"/>
  <c r="D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Q68" i="39" s="1"/>
  <c r="D68" i="39"/>
  <c r="B68" i="39"/>
  <c r="Q67" i="39"/>
  <c r="B67" i="39"/>
  <c r="O66" i="39"/>
  <c r="N66" i="39"/>
  <c r="M66" i="39"/>
  <c r="L66" i="39"/>
  <c r="K66" i="39"/>
  <c r="J66" i="39"/>
  <c r="I66" i="39"/>
  <c r="H66" i="39"/>
  <c r="G66" i="39"/>
  <c r="F66" i="39"/>
  <c r="E66" i="39"/>
  <c r="D66" i="39"/>
  <c r="B66" i="39"/>
  <c r="Q65" i="39"/>
  <c r="B65" i="39"/>
  <c r="O64" i="39"/>
  <c r="N64" i="39"/>
  <c r="M64" i="39"/>
  <c r="L64" i="39"/>
  <c r="K64" i="39"/>
  <c r="J64" i="39"/>
  <c r="I64" i="39"/>
  <c r="H64" i="39"/>
  <c r="G64" i="39"/>
  <c r="F64" i="39"/>
  <c r="E64" i="39"/>
  <c r="D64" i="39"/>
  <c r="B64" i="39"/>
  <c r="Q63" i="39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Q61" i="39" s="1"/>
  <c r="B61" i="39"/>
  <c r="Q60" i="39"/>
  <c r="B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B59" i="39"/>
  <c r="Q58" i="39"/>
  <c r="B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B57" i="39"/>
  <c r="Q56" i="39"/>
  <c r="B56" i="39"/>
  <c r="Q55" i="39"/>
  <c r="B55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B54" i="39"/>
  <c r="Q53" i="39"/>
  <c r="B53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B52" i="39"/>
  <c r="Q51" i="39"/>
  <c r="B51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B50" i="39"/>
  <c r="Q49" i="39"/>
  <c r="B49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Q48" i="39" s="1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O37" i="39"/>
  <c r="N37" i="39"/>
  <c r="M37" i="39"/>
  <c r="L37" i="39"/>
  <c r="K37" i="39"/>
  <c r="J37" i="39"/>
  <c r="I37" i="39"/>
  <c r="H37" i="39"/>
  <c r="G37" i="39"/>
  <c r="F37" i="39"/>
  <c r="E37" i="39"/>
  <c r="Q37" i="39" s="1"/>
  <c r="D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N26" i="39" s="1"/>
  <c r="M27" i="39"/>
  <c r="M26" i="39" s="1"/>
  <c r="L27" i="39"/>
  <c r="K27" i="39"/>
  <c r="J27" i="39"/>
  <c r="I27" i="39"/>
  <c r="H27" i="39"/>
  <c r="H26" i="39" s="1"/>
  <c r="G27" i="39"/>
  <c r="F27" i="39"/>
  <c r="F26" i="39" s="1"/>
  <c r="E27" i="39"/>
  <c r="D27" i="39"/>
  <c r="B27" i="39"/>
  <c r="L26" i="39"/>
  <c r="K26" i="39"/>
  <c r="J26" i="39"/>
  <c r="D26" i="39"/>
  <c r="M23" i="39"/>
  <c r="Q21" i="39"/>
  <c r="B21" i="39"/>
  <c r="Q20" i="39"/>
  <c r="B20" i="39"/>
  <c r="Q19" i="39"/>
  <c r="B19" i="39"/>
  <c r="Q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I16" i="39"/>
  <c r="H16" i="39"/>
  <c r="G16" i="39"/>
  <c r="F16" i="39"/>
  <c r="E16" i="39"/>
  <c r="D16" i="39"/>
  <c r="B16" i="39"/>
  <c r="I15" i="39"/>
  <c r="H15" i="39"/>
  <c r="G15" i="39"/>
  <c r="F15" i="39"/>
  <c r="E15" i="39"/>
  <c r="Q15" i="39" s="1"/>
  <c r="D15" i="39"/>
  <c r="B15" i="39"/>
  <c r="I14" i="39"/>
  <c r="H14" i="39"/>
  <c r="G14" i="39"/>
  <c r="F14" i="39"/>
  <c r="E14" i="39"/>
  <c r="Q14" i="39" s="1"/>
  <c r="D14" i="39"/>
  <c r="B14" i="39"/>
  <c r="I13" i="39"/>
  <c r="H13" i="39"/>
  <c r="G13" i="39"/>
  <c r="F13" i="39"/>
  <c r="E13" i="39"/>
  <c r="D13" i="39"/>
  <c r="B13" i="39"/>
  <c r="I12" i="39"/>
  <c r="H12" i="39"/>
  <c r="G12" i="39"/>
  <c r="F12" i="39"/>
  <c r="E12" i="39"/>
  <c r="D12" i="39"/>
  <c r="B12" i="39"/>
  <c r="I11" i="39"/>
  <c r="H11" i="39"/>
  <c r="H10" i="39" s="1"/>
  <c r="G11" i="39"/>
  <c r="G10" i="39" s="1"/>
  <c r="G23" i="39" s="1"/>
  <c r="F11" i="39"/>
  <c r="E11" i="39"/>
  <c r="D11" i="39"/>
  <c r="B11" i="39"/>
  <c r="O10" i="39"/>
  <c r="O23" i="39" s="1"/>
  <c r="N10" i="39"/>
  <c r="N23" i="39" s="1"/>
  <c r="M10" i="39"/>
  <c r="L10" i="39"/>
  <c r="L23" i="39" s="1"/>
  <c r="K10" i="39"/>
  <c r="K23" i="39" s="1"/>
  <c r="J10" i="39"/>
  <c r="F10" i="39"/>
  <c r="F23" i="39" s="1"/>
  <c r="E10" i="39"/>
  <c r="E23" i="39" s="1"/>
  <c r="D10" i="39"/>
  <c r="D23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D16" i="37" s="1"/>
  <c r="G11" i="37"/>
  <c r="E11" i="37"/>
  <c r="D11" i="37"/>
  <c r="B11" i="37"/>
  <c r="G10" i="37"/>
  <c r="E10" i="37"/>
  <c r="D10" i="37"/>
  <c r="E8" i="37"/>
  <c r="D8" i="37"/>
  <c r="Q117" i="36"/>
  <c r="I112" i="36"/>
  <c r="H112" i="36"/>
  <c r="G112" i="36"/>
  <c r="F112" i="36"/>
  <c r="E112" i="36"/>
  <c r="D112" i="36"/>
  <c r="Q110" i="36"/>
  <c r="B110" i="36"/>
  <c r="O109" i="36"/>
  <c r="N109" i="36"/>
  <c r="M109" i="36"/>
  <c r="L109" i="36"/>
  <c r="K109" i="36"/>
  <c r="J109" i="36"/>
  <c r="I109" i="36"/>
  <c r="H109" i="36"/>
  <c r="Q109" i="36" s="1"/>
  <c r="G109" i="36"/>
  <c r="F109" i="36"/>
  <c r="E109" i="36"/>
  <c r="D109" i="36"/>
  <c r="B109" i="36"/>
  <c r="Q108" i="36"/>
  <c r="B108" i="36"/>
  <c r="Q107" i="36"/>
  <c r="B107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B106" i="36"/>
  <c r="Q105" i="36"/>
  <c r="B105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B104" i="36"/>
  <c r="Q103" i="36"/>
  <c r="B103" i="36"/>
  <c r="Q102" i="36"/>
  <c r="B102" i="36"/>
  <c r="O101" i="36"/>
  <c r="N101" i="36"/>
  <c r="M101" i="36"/>
  <c r="L101" i="36"/>
  <c r="K101" i="36"/>
  <c r="J101" i="36"/>
  <c r="I101" i="36"/>
  <c r="H101" i="36"/>
  <c r="G101" i="36"/>
  <c r="F101" i="36"/>
  <c r="E101" i="36"/>
  <c r="D101" i="36"/>
  <c r="B101" i="36"/>
  <c r="Q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O90" i="36"/>
  <c r="N90" i="36"/>
  <c r="M90" i="36"/>
  <c r="L90" i="36"/>
  <c r="K90" i="36"/>
  <c r="J90" i="36"/>
  <c r="I90" i="36"/>
  <c r="H90" i="36"/>
  <c r="Q90" i="36" s="1"/>
  <c r="G90" i="36"/>
  <c r="F90" i="36"/>
  <c r="E90" i="36"/>
  <c r="D90" i="36"/>
  <c r="B90" i="36"/>
  <c r="Q89" i="36"/>
  <c r="B89" i="36"/>
  <c r="O88" i="36"/>
  <c r="N88" i="36"/>
  <c r="M88" i="36"/>
  <c r="L88" i="36"/>
  <c r="K88" i="36"/>
  <c r="J88" i="36"/>
  <c r="I88" i="36"/>
  <c r="H88" i="36"/>
  <c r="Q88" i="36" s="1"/>
  <c r="G88" i="36"/>
  <c r="F88" i="36"/>
  <c r="E88" i="36"/>
  <c r="D88" i="36"/>
  <c r="B88" i="36"/>
  <c r="Q87" i="36"/>
  <c r="B87" i="36"/>
  <c r="Q86" i="36"/>
  <c r="B86" i="36"/>
  <c r="Q85" i="36"/>
  <c r="B85" i="36"/>
  <c r="Q84" i="36"/>
  <c r="B84" i="36"/>
  <c r="Q83" i="36"/>
  <c r="B83" i="36"/>
  <c r="O82" i="36"/>
  <c r="N82" i="36"/>
  <c r="M82" i="36"/>
  <c r="L82" i="36"/>
  <c r="K82" i="36"/>
  <c r="J82" i="36"/>
  <c r="I82" i="36"/>
  <c r="H82" i="36"/>
  <c r="Q82" i="36" s="1"/>
  <c r="G82" i="36"/>
  <c r="F82" i="36"/>
  <c r="E82" i="36"/>
  <c r="D82" i="36"/>
  <c r="B82" i="36"/>
  <c r="Q81" i="36"/>
  <c r="B81" i="36"/>
  <c r="O80" i="36"/>
  <c r="N80" i="36"/>
  <c r="M80" i="36"/>
  <c r="L80" i="36"/>
  <c r="K80" i="36"/>
  <c r="J80" i="36"/>
  <c r="I80" i="36"/>
  <c r="H80" i="36"/>
  <c r="Q80" i="36" s="1"/>
  <c r="G80" i="36"/>
  <c r="F80" i="36"/>
  <c r="E80" i="36"/>
  <c r="D80" i="36"/>
  <c r="B80" i="36"/>
  <c r="Q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Q73" i="36" s="1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Q67" i="36" s="1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Q64" i="36" s="1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Q62" i="36" s="1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Q60" i="36" s="1"/>
  <c r="E60" i="36"/>
  <c r="D60" i="36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Q58" i="36" s="1"/>
  <c r="E58" i="36"/>
  <c r="D58" i="36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Q55" i="36" s="1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Q53" i="36" s="1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Q51" i="36" s="1"/>
  <c r="G51" i="36"/>
  <c r="F51" i="36"/>
  <c r="E51" i="36"/>
  <c r="D51" i="36"/>
  <c r="B51" i="36"/>
  <c r="Q50" i="36"/>
  <c r="B50" i="36"/>
  <c r="O49" i="36"/>
  <c r="N49" i="36"/>
  <c r="M49" i="36"/>
  <c r="L49" i="36"/>
  <c r="K49" i="36"/>
  <c r="J49" i="36"/>
  <c r="I49" i="36"/>
  <c r="H49" i="36"/>
  <c r="H26" i="36" s="1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M38" i="36"/>
  <c r="L38" i="36"/>
  <c r="K38" i="36"/>
  <c r="J38" i="36"/>
  <c r="J26" i="36" s="1"/>
  <c r="I38" i="36"/>
  <c r="H38" i="36"/>
  <c r="G38" i="36"/>
  <c r="F38" i="36"/>
  <c r="E38" i="36"/>
  <c r="D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N27" i="36"/>
  <c r="M27" i="36"/>
  <c r="L27" i="36"/>
  <c r="L26" i="36" s="1"/>
  <c r="K27" i="36"/>
  <c r="J27" i="36"/>
  <c r="I27" i="36"/>
  <c r="H27" i="36"/>
  <c r="G27" i="36"/>
  <c r="F27" i="36"/>
  <c r="E27" i="36"/>
  <c r="D27" i="36"/>
  <c r="Q27" i="36" s="1"/>
  <c r="B27" i="36"/>
  <c r="O26" i="36"/>
  <c r="M26" i="36"/>
  <c r="K26" i="36"/>
  <c r="I26" i="36"/>
  <c r="G26" i="36"/>
  <c r="E26" i="36"/>
  <c r="D26" i="36"/>
  <c r="N23" i="36"/>
  <c r="D23" i="36"/>
  <c r="D24" i="36" s="1"/>
  <c r="Q21" i="36"/>
  <c r="B21" i="36"/>
  <c r="Q20" i="36"/>
  <c r="B20" i="36"/>
  <c r="Q19" i="36"/>
  <c r="Q18" i="36" s="1"/>
  <c r="B19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I16" i="36"/>
  <c r="H16" i="36"/>
  <c r="G16" i="36"/>
  <c r="F16" i="36"/>
  <c r="E16" i="36"/>
  <c r="D16" i="36"/>
  <c r="Q16" i="36" s="1"/>
  <c r="B16" i="36"/>
  <c r="I15" i="36"/>
  <c r="H15" i="36"/>
  <c r="G15" i="36"/>
  <c r="F15" i="36"/>
  <c r="E15" i="36"/>
  <c r="D15" i="36"/>
  <c r="Q15" i="36" s="1"/>
  <c r="B15" i="36"/>
  <c r="I14" i="36"/>
  <c r="H14" i="36"/>
  <c r="G14" i="36"/>
  <c r="F14" i="36"/>
  <c r="E14" i="36"/>
  <c r="D14" i="36"/>
  <c r="B14" i="36"/>
  <c r="I13" i="36"/>
  <c r="H13" i="36"/>
  <c r="G13" i="36"/>
  <c r="F13" i="36"/>
  <c r="E13" i="36"/>
  <c r="D13" i="36"/>
  <c r="B13" i="36"/>
  <c r="I12" i="36"/>
  <c r="H12" i="36"/>
  <c r="G12" i="36"/>
  <c r="F12" i="36"/>
  <c r="E12" i="36"/>
  <c r="D12" i="36"/>
  <c r="B12" i="36"/>
  <c r="I11" i="36"/>
  <c r="H11" i="36"/>
  <c r="G11" i="36"/>
  <c r="F11" i="36"/>
  <c r="Q11" i="36" s="1"/>
  <c r="E11" i="36"/>
  <c r="D11" i="36"/>
  <c r="B11" i="36"/>
  <c r="O10" i="36"/>
  <c r="N10" i="36"/>
  <c r="M10" i="36"/>
  <c r="M23" i="36" s="1"/>
  <c r="L10" i="36"/>
  <c r="L23" i="36" s="1"/>
  <c r="K10" i="36"/>
  <c r="K23" i="36" s="1"/>
  <c r="J10" i="36"/>
  <c r="J23" i="36" s="1"/>
  <c r="J24" i="36" s="1"/>
  <c r="I10" i="36"/>
  <c r="I23" i="36" s="1"/>
  <c r="G10" i="36"/>
  <c r="G23" i="36" s="1"/>
  <c r="G114" i="36" s="1"/>
  <c r="G115" i="36" s="1"/>
  <c r="E10" i="36"/>
  <c r="E23" i="36" s="1"/>
  <c r="D10" i="36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E10" i="34"/>
  <c r="D10" i="34"/>
  <c r="E8" i="34"/>
  <c r="D8" i="34"/>
  <c r="Q75" i="33"/>
  <c r="I70" i="33"/>
  <c r="H70" i="33"/>
  <c r="Q70" i="33" s="1"/>
  <c r="G70" i="33"/>
  <c r="F70" i="33"/>
  <c r="E70" i="33"/>
  <c r="D70" i="33"/>
  <c r="Q68" i="33"/>
  <c r="B68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B67" i="33"/>
  <c r="Q66" i="33"/>
  <c r="B66" i="33"/>
  <c r="Q65" i="33"/>
  <c r="B65" i="33"/>
  <c r="Q64" i="33"/>
  <c r="B64" i="33"/>
  <c r="Q63" i="33"/>
  <c r="B63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B62" i="33"/>
  <c r="Q61" i="33"/>
  <c r="B61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B60" i="33"/>
  <c r="Q59" i="33"/>
  <c r="B59" i="33"/>
  <c r="Q58" i="33"/>
  <c r="B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B57" i="33"/>
  <c r="Q56" i="33"/>
  <c r="B5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B55" i="33"/>
  <c r="Q54" i="33"/>
  <c r="B54" i="33"/>
  <c r="Q53" i="33"/>
  <c r="B53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B52" i="33"/>
  <c r="Q51" i="33"/>
  <c r="B51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B50" i="33"/>
  <c r="Q49" i="33"/>
  <c r="B49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B48" i="33"/>
  <c r="Q47" i="33"/>
  <c r="B47" i="33"/>
  <c r="O46" i="33"/>
  <c r="N46" i="33"/>
  <c r="M46" i="33"/>
  <c r="L46" i="33"/>
  <c r="K46" i="33"/>
  <c r="J46" i="33"/>
  <c r="I46" i="33"/>
  <c r="I24" i="33" s="1"/>
  <c r="I72" i="33" s="1"/>
  <c r="H46" i="33"/>
  <c r="G46" i="33"/>
  <c r="F46" i="33"/>
  <c r="E46" i="33"/>
  <c r="D46" i="33"/>
  <c r="Q46" i="33" s="1"/>
  <c r="B46" i="33"/>
  <c r="Q45" i="33"/>
  <c r="B45" i="33"/>
  <c r="Q44" i="33"/>
  <c r="B44" i="33"/>
  <c r="Q43" i="33"/>
  <c r="B43" i="33"/>
  <c r="Q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B35" i="33"/>
  <c r="Q34" i="33"/>
  <c r="B34" i="33"/>
  <c r="Q33" i="33"/>
  <c r="B33" i="33"/>
  <c r="Q32" i="33"/>
  <c r="B32" i="33"/>
  <c r="Q31" i="33"/>
  <c r="B31" i="33"/>
  <c r="Q30" i="33"/>
  <c r="B30" i="33"/>
  <c r="Q29" i="33"/>
  <c r="B29" i="33"/>
  <c r="Q28" i="33"/>
  <c r="B28" i="33"/>
  <c r="Q27" i="33"/>
  <c r="B27" i="33"/>
  <c r="Q26" i="33"/>
  <c r="B26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Q25" i="33" s="1"/>
  <c r="B25" i="33"/>
  <c r="N24" i="33"/>
  <c r="L24" i="33"/>
  <c r="K24" i="33"/>
  <c r="J24" i="33"/>
  <c r="H24" i="33"/>
  <c r="F24" i="33"/>
  <c r="D24" i="33"/>
  <c r="H22" i="33"/>
  <c r="M21" i="33"/>
  <c r="Q19" i="33"/>
  <c r="B19" i="33"/>
  <c r="Q18" i="33"/>
  <c r="Q17" i="33" s="1"/>
  <c r="B18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I15" i="33"/>
  <c r="H15" i="33"/>
  <c r="G15" i="33"/>
  <c r="F15" i="33"/>
  <c r="E15" i="33"/>
  <c r="Q15" i="33" s="1"/>
  <c r="D15" i="33"/>
  <c r="B15" i="33"/>
  <c r="I14" i="33"/>
  <c r="H14" i="33"/>
  <c r="G14" i="33"/>
  <c r="F14" i="33"/>
  <c r="E14" i="33"/>
  <c r="Q14" i="33" s="1"/>
  <c r="D14" i="33"/>
  <c r="B14" i="33"/>
  <c r="I13" i="33"/>
  <c r="H13" i="33"/>
  <c r="G13" i="33"/>
  <c r="F13" i="33"/>
  <c r="E13" i="33"/>
  <c r="Q13" i="33" s="1"/>
  <c r="D13" i="33"/>
  <c r="B13" i="33"/>
  <c r="I12" i="33"/>
  <c r="H12" i="33"/>
  <c r="G12" i="33"/>
  <c r="F12" i="33"/>
  <c r="E12" i="33"/>
  <c r="Q12" i="33" s="1"/>
  <c r="D12" i="33"/>
  <c r="B12" i="33"/>
  <c r="I11" i="33"/>
  <c r="H11" i="33"/>
  <c r="G11" i="33"/>
  <c r="F11" i="33"/>
  <c r="E11" i="33"/>
  <c r="D11" i="33"/>
  <c r="B11" i="33"/>
  <c r="O10" i="33"/>
  <c r="O21" i="33" s="1"/>
  <c r="N10" i="33"/>
  <c r="N21" i="33" s="1"/>
  <c r="N72" i="33" s="1"/>
  <c r="N77" i="33" s="1"/>
  <c r="M10" i="33"/>
  <c r="L10" i="33"/>
  <c r="K10" i="33"/>
  <c r="K21" i="33" s="1"/>
  <c r="J10" i="33"/>
  <c r="J21" i="33" s="1"/>
  <c r="I10" i="33"/>
  <c r="I21" i="33" s="1"/>
  <c r="I22" i="33" s="1"/>
  <c r="H10" i="33"/>
  <c r="H21" i="33" s="1"/>
  <c r="G10" i="33"/>
  <c r="G21" i="33" s="1"/>
  <c r="F10" i="33"/>
  <c r="F21" i="33" s="1"/>
  <c r="F72" i="33" s="1"/>
  <c r="F77" i="33" s="1"/>
  <c r="D10" i="33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D10" i="31"/>
  <c r="E8" i="31"/>
  <c r="D8" i="31"/>
  <c r="Q120" i="30"/>
  <c r="I115" i="30"/>
  <c r="H115" i="30"/>
  <c r="G115" i="30"/>
  <c r="F115" i="30"/>
  <c r="E115" i="30"/>
  <c r="D115" i="30"/>
  <c r="Q113" i="30"/>
  <c r="B113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Q112" i="30" s="1"/>
  <c r="B112" i="30"/>
  <c r="Q111" i="30"/>
  <c r="B111" i="30"/>
  <c r="Q110" i="30"/>
  <c r="B110" i="30"/>
  <c r="O109" i="30"/>
  <c r="N109" i="30"/>
  <c r="M109" i="30"/>
  <c r="L109" i="30"/>
  <c r="K109" i="30"/>
  <c r="J109" i="30"/>
  <c r="I109" i="30"/>
  <c r="H109" i="30"/>
  <c r="G109" i="30"/>
  <c r="F109" i="30"/>
  <c r="Q109" i="30" s="1"/>
  <c r="E109" i="30"/>
  <c r="D109" i="30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Q107" i="30" s="1"/>
  <c r="E107" i="30"/>
  <c r="D107" i="30"/>
  <c r="B107" i="30"/>
  <c r="Q106" i="30"/>
  <c r="B106" i="30"/>
  <c r="Q105" i="30"/>
  <c r="B105" i="30"/>
  <c r="Q104" i="30"/>
  <c r="B104" i="30"/>
  <c r="Q103" i="30"/>
  <c r="B103" i="30"/>
  <c r="Q102" i="30"/>
  <c r="B102" i="30"/>
  <c r="O101" i="30"/>
  <c r="N101" i="30"/>
  <c r="M101" i="30"/>
  <c r="L101" i="30"/>
  <c r="K101" i="30"/>
  <c r="J101" i="30"/>
  <c r="I101" i="30"/>
  <c r="H101" i="30"/>
  <c r="G101" i="30"/>
  <c r="F101" i="30"/>
  <c r="Q101" i="30" s="1"/>
  <c r="E101" i="30"/>
  <c r="D101" i="30"/>
  <c r="B101" i="30"/>
  <c r="Q100" i="30"/>
  <c r="B100" i="30"/>
  <c r="Q99" i="30"/>
  <c r="B99" i="30"/>
  <c r="O98" i="30"/>
  <c r="N98" i="30"/>
  <c r="M98" i="30"/>
  <c r="L98" i="30"/>
  <c r="K98" i="30"/>
  <c r="J98" i="30"/>
  <c r="I98" i="30"/>
  <c r="H98" i="30"/>
  <c r="Q98" i="30" s="1"/>
  <c r="G98" i="30"/>
  <c r="F98" i="30"/>
  <c r="E98" i="30"/>
  <c r="D98" i="30"/>
  <c r="B98" i="30"/>
  <c r="Q97" i="30"/>
  <c r="B97" i="30"/>
  <c r="Q96" i="30"/>
  <c r="B96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Q95" i="30" s="1"/>
  <c r="B95" i="30"/>
  <c r="Q94" i="30"/>
  <c r="B94" i="30"/>
  <c r="Q93" i="30"/>
  <c r="B93" i="30"/>
  <c r="Q92" i="30"/>
  <c r="B92" i="30"/>
  <c r="O91" i="30"/>
  <c r="N91" i="30"/>
  <c r="M91" i="30"/>
  <c r="L91" i="30"/>
  <c r="K91" i="30"/>
  <c r="J91" i="30"/>
  <c r="I91" i="30"/>
  <c r="H91" i="30"/>
  <c r="Q91" i="30" s="1"/>
  <c r="G91" i="30"/>
  <c r="F91" i="30"/>
  <c r="E91" i="30"/>
  <c r="D91" i="30"/>
  <c r="B91" i="30"/>
  <c r="Q90" i="30"/>
  <c r="B90" i="30"/>
  <c r="Q89" i="30"/>
  <c r="B89" i="30"/>
  <c r="O88" i="30"/>
  <c r="N88" i="30"/>
  <c r="M88" i="30"/>
  <c r="L88" i="30"/>
  <c r="K88" i="30"/>
  <c r="J88" i="30"/>
  <c r="I88" i="30"/>
  <c r="H88" i="30"/>
  <c r="Q88" i="30" s="1"/>
  <c r="G88" i="30"/>
  <c r="F88" i="30"/>
  <c r="E88" i="30"/>
  <c r="D88" i="30"/>
  <c r="B88" i="30"/>
  <c r="Q87" i="30"/>
  <c r="B87" i="30"/>
  <c r="O86" i="30"/>
  <c r="N86" i="30"/>
  <c r="M86" i="30"/>
  <c r="L86" i="30"/>
  <c r="K86" i="30"/>
  <c r="J86" i="30"/>
  <c r="I86" i="30"/>
  <c r="H86" i="30"/>
  <c r="Q86" i="30" s="1"/>
  <c r="G86" i="30"/>
  <c r="F86" i="30"/>
  <c r="E86" i="30"/>
  <c r="D86" i="30"/>
  <c r="B86" i="30"/>
  <c r="Q85" i="30"/>
  <c r="B85" i="30"/>
  <c r="O84" i="30"/>
  <c r="N84" i="30"/>
  <c r="M84" i="30"/>
  <c r="L84" i="30"/>
  <c r="K84" i="30"/>
  <c r="J84" i="30"/>
  <c r="I84" i="30"/>
  <c r="H84" i="30"/>
  <c r="Q84" i="30" s="1"/>
  <c r="G84" i="30"/>
  <c r="F84" i="30"/>
  <c r="E84" i="30"/>
  <c r="D84" i="30"/>
  <c r="B84" i="30"/>
  <c r="Q83" i="30"/>
  <c r="B83" i="30"/>
  <c r="O82" i="30"/>
  <c r="N82" i="30"/>
  <c r="M82" i="30"/>
  <c r="L82" i="30"/>
  <c r="K82" i="30"/>
  <c r="J82" i="30"/>
  <c r="I82" i="30"/>
  <c r="H82" i="30"/>
  <c r="Q82" i="30" s="1"/>
  <c r="G82" i="30"/>
  <c r="F82" i="30"/>
  <c r="E82" i="30"/>
  <c r="D82" i="30"/>
  <c r="B82" i="30"/>
  <c r="Q81" i="30"/>
  <c r="B81" i="30"/>
  <c r="O80" i="30"/>
  <c r="N80" i="30"/>
  <c r="M80" i="30"/>
  <c r="L80" i="30"/>
  <c r="K80" i="30"/>
  <c r="J80" i="30"/>
  <c r="I80" i="30"/>
  <c r="H80" i="30"/>
  <c r="Q80" i="30" s="1"/>
  <c r="G80" i="30"/>
  <c r="F80" i="30"/>
  <c r="E80" i="30"/>
  <c r="D80" i="30"/>
  <c r="B80" i="30"/>
  <c r="Q79" i="30"/>
  <c r="B79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B78" i="30"/>
  <c r="Q77" i="30"/>
  <c r="B77" i="30"/>
  <c r="Q76" i="30"/>
  <c r="B76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Q75" i="30" s="1"/>
  <c r="B75" i="30"/>
  <c r="Q74" i="30"/>
  <c r="B74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B73" i="30"/>
  <c r="Q72" i="30"/>
  <c r="B72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B71" i="30"/>
  <c r="Q70" i="30"/>
  <c r="B70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B69" i="30"/>
  <c r="Q68" i="30"/>
  <c r="B68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Q67" i="30" s="1"/>
  <c r="B67" i="30"/>
  <c r="Q66" i="30"/>
  <c r="B66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Q65" i="30" s="1"/>
  <c r="B65" i="30"/>
  <c r="Q64" i="30"/>
  <c r="B64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B52" i="30"/>
  <c r="Q51" i="30"/>
  <c r="B51" i="30"/>
  <c r="Q50" i="30"/>
  <c r="B50" i="30"/>
  <c r="Q49" i="30"/>
  <c r="B49" i="30"/>
  <c r="Q48" i="30"/>
  <c r="B48" i="30"/>
  <c r="Q47" i="30"/>
  <c r="B47" i="30"/>
  <c r="Q46" i="30"/>
  <c r="B46" i="30"/>
  <c r="Q45" i="30"/>
  <c r="B45" i="30"/>
  <c r="Q44" i="30"/>
  <c r="B44" i="30"/>
  <c r="Q43" i="30"/>
  <c r="B43" i="30"/>
  <c r="O42" i="30"/>
  <c r="N42" i="30"/>
  <c r="M42" i="30"/>
  <c r="L42" i="30"/>
  <c r="L41" i="30" s="1"/>
  <c r="K42" i="30"/>
  <c r="J42" i="30"/>
  <c r="I42" i="30"/>
  <c r="H42" i="30"/>
  <c r="G42" i="30"/>
  <c r="F42" i="30"/>
  <c r="E42" i="30"/>
  <c r="D42" i="30"/>
  <c r="B42" i="30"/>
  <c r="O41" i="30"/>
  <c r="M41" i="30"/>
  <c r="K41" i="30"/>
  <c r="J41" i="30"/>
  <c r="I41" i="30"/>
  <c r="G41" i="30"/>
  <c r="E41" i="30"/>
  <c r="D41" i="30"/>
  <c r="N38" i="30"/>
  <c r="N39" i="30" s="1"/>
  <c r="L38" i="30"/>
  <c r="Q36" i="30"/>
  <c r="B36" i="30"/>
  <c r="Q35" i="30"/>
  <c r="B35" i="30"/>
  <c r="Q34" i="30"/>
  <c r="B34" i="30"/>
  <c r="Q33" i="30"/>
  <c r="B33" i="30"/>
  <c r="Q32" i="30"/>
  <c r="B32" i="30"/>
  <c r="Q31" i="30"/>
  <c r="B31" i="30"/>
  <c r="Q30" i="30"/>
  <c r="B30" i="30"/>
  <c r="Q29" i="30"/>
  <c r="B29" i="30"/>
  <c r="Q28" i="30"/>
  <c r="B28" i="30"/>
  <c r="Q27" i="30"/>
  <c r="B27" i="30"/>
  <c r="Q26" i="30"/>
  <c r="B26" i="30"/>
  <c r="Q25" i="30"/>
  <c r="B25" i="30"/>
  <c r="Q24" i="30"/>
  <c r="B24" i="30"/>
  <c r="Q23" i="30"/>
  <c r="B23" i="30"/>
  <c r="Q22" i="30"/>
  <c r="B22" i="30"/>
  <c r="Q21" i="30"/>
  <c r="B21" i="30"/>
  <c r="Q20" i="30"/>
  <c r="B20" i="30"/>
  <c r="Q19" i="30"/>
  <c r="B19" i="30"/>
  <c r="Q18" i="30"/>
  <c r="Q17" i="30" s="1"/>
  <c r="B18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I15" i="30"/>
  <c r="H15" i="30"/>
  <c r="G15" i="30"/>
  <c r="F15" i="30"/>
  <c r="Q15" i="30" s="1"/>
  <c r="E15" i="30"/>
  <c r="D15" i="30"/>
  <c r="B15" i="30"/>
  <c r="I14" i="30"/>
  <c r="H14" i="30"/>
  <c r="G14" i="30"/>
  <c r="F14" i="30"/>
  <c r="Q14" i="30" s="1"/>
  <c r="E14" i="30"/>
  <c r="D14" i="30"/>
  <c r="B14" i="30"/>
  <c r="I13" i="30"/>
  <c r="H13" i="30"/>
  <c r="G13" i="30"/>
  <c r="F13" i="30"/>
  <c r="Q13" i="30" s="1"/>
  <c r="E13" i="30"/>
  <c r="D13" i="30"/>
  <c r="B13" i="30"/>
  <c r="I12" i="30"/>
  <c r="H12" i="30"/>
  <c r="G12" i="30"/>
  <c r="F12" i="30"/>
  <c r="E12" i="30"/>
  <c r="D12" i="30"/>
  <c r="B12" i="30"/>
  <c r="I11" i="30"/>
  <c r="H11" i="30"/>
  <c r="G11" i="30"/>
  <c r="F11" i="30"/>
  <c r="E11" i="30"/>
  <c r="D11" i="30"/>
  <c r="B11" i="30"/>
  <c r="O10" i="30"/>
  <c r="O38" i="30" s="1"/>
  <c r="O117" i="30" s="1"/>
  <c r="N10" i="30"/>
  <c r="M10" i="30"/>
  <c r="M38" i="30" s="1"/>
  <c r="L10" i="30"/>
  <c r="K10" i="30"/>
  <c r="K38" i="30" s="1"/>
  <c r="J10" i="30"/>
  <c r="J38" i="30" s="1"/>
  <c r="I10" i="30"/>
  <c r="G10" i="30"/>
  <c r="G38" i="30" s="1"/>
  <c r="G117" i="30" s="1"/>
  <c r="F10" i="30"/>
  <c r="F38" i="30" s="1"/>
  <c r="E10" i="30"/>
  <c r="E38" i="30" s="1"/>
  <c r="D10" i="30"/>
  <c r="D38" i="30" s="1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E10" i="28"/>
  <c r="D10" i="28"/>
  <c r="E8" i="28"/>
  <c r="D8" i="28"/>
  <c r="Q88" i="27"/>
  <c r="Q83" i="27"/>
  <c r="I83" i="27"/>
  <c r="H83" i="27"/>
  <c r="G83" i="27"/>
  <c r="F83" i="27"/>
  <c r="E83" i="27"/>
  <c r="D83" i="27"/>
  <c r="Q81" i="27"/>
  <c r="B81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B80" i="27"/>
  <c r="Q79" i="27"/>
  <c r="B79" i="27"/>
  <c r="Q78" i="27"/>
  <c r="B78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B77" i="27"/>
  <c r="Q76" i="27"/>
  <c r="B76" i="27"/>
  <c r="Q75" i="27"/>
  <c r="B75" i="27"/>
  <c r="O74" i="27"/>
  <c r="N74" i="27"/>
  <c r="M74" i="27"/>
  <c r="L74" i="27"/>
  <c r="K74" i="27"/>
  <c r="J74" i="27"/>
  <c r="I74" i="27"/>
  <c r="H74" i="27"/>
  <c r="G74" i="27"/>
  <c r="F74" i="27"/>
  <c r="E74" i="27"/>
  <c r="Q74" i="27" s="1"/>
  <c r="D74" i="27"/>
  <c r="B74" i="27"/>
  <c r="Q73" i="27"/>
  <c r="B73" i="27"/>
  <c r="Q72" i="27"/>
  <c r="B72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B71" i="27"/>
  <c r="Q70" i="27"/>
  <c r="B70" i="27"/>
  <c r="Q69" i="27"/>
  <c r="B69" i="27"/>
  <c r="Q68" i="27"/>
  <c r="B68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B67" i="27"/>
  <c r="Q66" i="27"/>
  <c r="B66" i="27"/>
  <c r="O65" i="27"/>
  <c r="N65" i="27"/>
  <c r="M65" i="27"/>
  <c r="L65" i="27"/>
  <c r="K65" i="27"/>
  <c r="J65" i="27"/>
  <c r="I65" i="27"/>
  <c r="H65" i="27"/>
  <c r="G65" i="27"/>
  <c r="F65" i="27"/>
  <c r="E65" i="27"/>
  <c r="Q65" i="27" s="1"/>
  <c r="D65" i="27"/>
  <c r="B65" i="27"/>
  <c r="Q64" i="27"/>
  <c r="B64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B63" i="27"/>
  <c r="Q62" i="27"/>
  <c r="B62" i="27"/>
  <c r="O61" i="27"/>
  <c r="N61" i="27"/>
  <c r="M61" i="27"/>
  <c r="L61" i="27"/>
  <c r="K61" i="27"/>
  <c r="J61" i="27"/>
  <c r="I61" i="27"/>
  <c r="H61" i="27"/>
  <c r="G61" i="27"/>
  <c r="F61" i="27"/>
  <c r="E61" i="27"/>
  <c r="Q61" i="27" s="1"/>
  <c r="D61" i="27"/>
  <c r="B61" i="27"/>
  <c r="Q60" i="27"/>
  <c r="B60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B59" i="27"/>
  <c r="Q58" i="27"/>
  <c r="B58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B57" i="27"/>
  <c r="Q56" i="27"/>
  <c r="B56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B55" i="27"/>
  <c r="Q54" i="27"/>
  <c r="B54" i="27"/>
  <c r="Q53" i="27"/>
  <c r="B53" i="27"/>
  <c r="Q52" i="27"/>
  <c r="B52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O44" i="27"/>
  <c r="N44" i="27"/>
  <c r="M44" i="27"/>
  <c r="L44" i="27"/>
  <c r="K44" i="27"/>
  <c r="K32" i="27" s="1"/>
  <c r="K85" i="27" s="1"/>
  <c r="J44" i="27"/>
  <c r="I44" i="27"/>
  <c r="H44" i="27"/>
  <c r="G44" i="27"/>
  <c r="F44" i="27"/>
  <c r="E44" i="27"/>
  <c r="D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O33" i="27"/>
  <c r="N33" i="27"/>
  <c r="N32" i="27" s="1"/>
  <c r="M33" i="27"/>
  <c r="M32" i="27" s="1"/>
  <c r="L33" i="27"/>
  <c r="K33" i="27"/>
  <c r="J33" i="27"/>
  <c r="J32" i="27" s="1"/>
  <c r="I33" i="27"/>
  <c r="H33" i="27"/>
  <c r="G33" i="27"/>
  <c r="F33" i="27"/>
  <c r="E33" i="27"/>
  <c r="D33" i="27"/>
  <c r="Q33" i="27" s="1"/>
  <c r="B33" i="27"/>
  <c r="L32" i="27"/>
  <c r="H32" i="27"/>
  <c r="F32" i="27"/>
  <c r="E32" i="27"/>
  <c r="D32" i="27"/>
  <c r="J30" i="27"/>
  <c r="H30" i="27"/>
  <c r="O29" i="27"/>
  <c r="J29" i="27"/>
  <c r="Q27" i="27"/>
  <c r="B27" i="27"/>
  <c r="Q26" i="27"/>
  <c r="B26" i="27"/>
  <c r="Q25" i="27"/>
  <c r="B25" i="27"/>
  <c r="Q24" i="27"/>
  <c r="B24" i="27"/>
  <c r="Q23" i="27"/>
  <c r="B23" i="27"/>
  <c r="Q22" i="27"/>
  <c r="B22" i="27"/>
  <c r="Q21" i="27"/>
  <c r="B21" i="27"/>
  <c r="Q20" i="27"/>
  <c r="Q17" i="27" s="1"/>
  <c r="B20" i="27"/>
  <c r="Q19" i="27"/>
  <c r="B19" i="27"/>
  <c r="Q18" i="27"/>
  <c r="B18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I15" i="27"/>
  <c r="H15" i="27"/>
  <c r="G15" i="27"/>
  <c r="F15" i="27"/>
  <c r="E15" i="27"/>
  <c r="Q15" i="27" s="1"/>
  <c r="D15" i="27"/>
  <c r="B15" i="27"/>
  <c r="I14" i="27"/>
  <c r="H14" i="27"/>
  <c r="G14" i="27"/>
  <c r="F14" i="27"/>
  <c r="E14" i="27"/>
  <c r="D14" i="27"/>
  <c r="B14" i="27"/>
  <c r="I13" i="27"/>
  <c r="H13" i="27"/>
  <c r="G13" i="27"/>
  <c r="F13" i="27"/>
  <c r="E13" i="27"/>
  <c r="D13" i="27"/>
  <c r="B13" i="27"/>
  <c r="I12" i="27"/>
  <c r="H12" i="27"/>
  <c r="G12" i="27"/>
  <c r="F12" i="27"/>
  <c r="E12" i="27"/>
  <c r="Q12" i="27" s="1"/>
  <c r="D12" i="27"/>
  <c r="B12" i="27"/>
  <c r="I11" i="27"/>
  <c r="H11" i="27"/>
  <c r="G11" i="27"/>
  <c r="G10" i="27" s="1"/>
  <c r="G29" i="27" s="1"/>
  <c r="F11" i="27"/>
  <c r="F10" i="27" s="1"/>
  <c r="E11" i="27"/>
  <c r="D11" i="27"/>
  <c r="B11" i="27"/>
  <c r="O10" i="27"/>
  <c r="N10" i="27"/>
  <c r="M10" i="27"/>
  <c r="M29" i="27" s="1"/>
  <c r="L10" i="27"/>
  <c r="L29" i="27" s="1"/>
  <c r="K10" i="27"/>
  <c r="K29" i="27" s="1"/>
  <c r="K30" i="27" s="1"/>
  <c r="J10" i="27"/>
  <c r="I10" i="27"/>
  <c r="I29" i="27" s="1"/>
  <c r="I30" i="27" s="1"/>
  <c r="H10" i="27"/>
  <c r="H29" i="27" s="1"/>
  <c r="H85" i="27" s="1"/>
  <c r="H86" i="27" s="1"/>
  <c r="D10" i="27"/>
  <c r="D29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D10" i="25"/>
  <c r="E8" i="25"/>
  <c r="D8" i="25"/>
  <c r="Q85" i="24"/>
  <c r="I80" i="24"/>
  <c r="H80" i="24"/>
  <c r="G80" i="24"/>
  <c r="F80" i="24"/>
  <c r="E80" i="24"/>
  <c r="D80" i="24"/>
  <c r="Q78" i="24"/>
  <c r="B78" i="24"/>
  <c r="O77" i="24"/>
  <c r="N77" i="24"/>
  <c r="M77" i="24"/>
  <c r="L77" i="24"/>
  <c r="K77" i="24"/>
  <c r="J77" i="24"/>
  <c r="I77" i="24"/>
  <c r="H77" i="24"/>
  <c r="Q77" i="24" s="1"/>
  <c r="G77" i="24"/>
  <c r="F77" i="24"/>
  <c r="E77" i="24"/>
  <c r="D77" i="24"/>
  <c r="B77" i="24"/>
  <c r="Q76" i="24"/>
  <c r="B76" i="24"/>
  <c r="Q75" i="24"/>
  <c r="B75" i="24"/>
  <c r="Q74" i="24"/>
  <c r="B74" i="24"/>
  <c r="Q73" i="24"/>
  <c r="B73" i="24"/>
  <c r="O72" i="24"/>
  <c r="N72" i="24"/>
  <c r="M72" i="24"/>
  <c r="L72" i="24"/>
  <c r="K72" i="24"/>
  <c r="J72" i="24"/>
  <c r="I72" i="24"/>
  <c r="H72" i="24"/>
  <c r="G72" i="24"/>
  <c r="F72" i="24"/>
  <c r="F31" i="24" s="1"/>
  <c r="E72" i="24"/>
  <c r="D72" i="24"/>
  <c r="B72" i="24"/>
  <c r="Q71" i="24"/>
  <c r="B71" i="24"/>
  <c r="Q70" i="24"/>
  <c r="B70" i="24"/>
  <c r="O69" i="24"/>
  <c r="N69" i="24"/>
  <c r="M69" i="24"/>
  <c r="L69" i="24"/>
  <c r="K69" i="24"/>
  <c r="J69" i="24"/>
  <c r="I69" i="24"/>
  <c r="H69" i="24"/>
  <c r="Q69" i="24" s="1"/>
  <c r="G69" i="24"/>
  <c r="F69" i="24"/>
  <c r="E69" i="24"/>
  <c r="D69" i="24"/>
  <c r="B69" i="24"/>
  <c r="Q68" i="24"/>
  <c r="B68" i="24"/>
  <c r="Q67" i="24"/>
  <c r="B67" i="24"/>
  <c r="O66" i="24"/>
  <c r="N66" i="24"/>
  <c r="M66" i="24"/>
  <c r="L66" i="24"/>
  <c r="K66" i="24"/>
  <c r="J66" i="24"/>
  <c r="I66" i="24"/>
  <c r="H66" i="24"/>
  <c r="Q66" i="24" s="1"/>
  <c r="G66" i="24"/>
  <c r="F66" i="24"/>
  <c r="E66" i="24"/>
  <c r="D66" i="24"/>
  <c r="B66" i="24"/>
  <c r="Q65" i="24"/>
  <c r="B65" i="24"/>
  <c r="O64" i="24"/>
  <c r="N64" i="24"/>
  <c r="M64" i="24"/>
  <c r="L64" i="24"/>
  <c r="K64" i="24"/>
  <c r="J64" i="24"/>
  <c r="I64" i="24"/>
  <c r="H64" i="24"/>
  <c r="Q64" i="24" s="1"/>
  <c r="G64" i="24"/>
  <c r="F64" i="24"/>
  <c r="E64" i="24"/>
  <c r="D64" i="24"/>
  <c r="B64" i="24"/>
  <c r="Q63" i="24"/>
  <c r="B63" i="24"/>
  <c r="O62" i="24"/>
  <c r="N62" i="24"/>
  <c r="M62" i="24"/>
  <c r="L62" i="24"/>
  <c r="K62" i="24"/>
  <c r="J62" i="24"/>
  <c r="I62" i="24"/>
  <c r="H62" i="24"/>
  <c r="Q62" i="24" s="1"/>
  <c r="G62" i="24"/>
  <c r="F62" i="24"/>
  <c r="E62" i="24"/>
  <c r="D62" i="24"/>
  <c r="B62" i="24"/>
  <c r="Q61" i="24"/>
  <c r="B61" i="24"/>
  <c r="O60" i="24"/>
  <c r="N60" i="24"/>
  <c r="M60" i="24"/>
  <c r="L60" i="24"/>
  <c r="K60" i="24"/>
  <c r="J60" i="24"/>
  <c r="I60" i="24"/>
  <c r="H60" i="24"/>
  <c r="Q60" i="24" s="1"/>
  <c r="G60" i="24"/>
  <c r="F60" i="24"/>
  <c r="E60" i="24"/>
  <c r="D60" i="24"/>
  <c r="B60" i="24"/>
  <c r="Q59" i="24"/>
  <c r="B59" i="24"/>
  <c r="O58" i="24"/>
  <c r="N58" i="24"/>
  <c r="M58" i="24"/>
  <c r="L58" i="24"/>
  <c r="K58" i="24"/>
  <c r="J58" i="24"/>
  <c r="I58" i="24"/>
  <c r="H58" i="24"/>
  <c r="Q58" i="24" s="1"/>
  <c r="G58" i="24"/>
  <c r="F58" i="24"/>
  <c r="E58" i="24"/>
  <c r="D58" i="24"/>
  <c r="B58" i="24"/>
  <c r="Q57" i="24"/>
  <c r="B57" i="24"/>
  <c r="O56" i="24"/>
  <c r="N56" i="24"/>
  <c r="M56" i="24"/>
  <c r="L56" i="24"/>
  <c r="K56" i="24"/>
  <c r="J56" i="24"/>
  <c r="I56" i="24"/>
  <c r="H56" i="24"/>
  <c r="Q56" i="24" s="1"/>
  <c r="G56" i="24"/>
  <c r="F56" i="24"/>
  <c r="E56" i="24"/>
  <c r="D56" i="24"/>
  <c r="B56" i="24"/>
  <c r="Q55" i="24"/>
  <c r="B55" i="24"/>
  <c r="O54" i="24"/>
  <c r="N54" i="24"/>
  <c r="M54" i="24"/>
  <c r="L54" i="24"/>
  <c r="K54" i="24"/>
  <c r="J54" i="24"/>
  <c r="I54" i="24"/>
  <c r="H54" i="24"/>
  <c r="Q54" i="24" s="1"/>
  <c r="G54" i="24"/>
  <c r="F54" i="24"/>
  <c r="E54" i="24"/>
  <c r="D54" i="24"/>
  <c r="B54" i="24"/>
  <c r="Q53" i="24"/>
  <c r="B53" i="24"/>
  <c r="O52" i="24"/>
  <c r="N52" i="24"/>
  <c r="M52" i="24"/>
  <c r="L52" i="24"/>
  <c r="K52" i="24"/>
  <c r="J52" i="24"/>
  <c r="I52" i="24"/>
  <c r="H52" i="24"/>
  <c r="Q52" i="24" s="1"/>
  <c r="G52" i="24"/>
  <c r="F52" i="24"/>
  <c r="E52" i="24"/>
  <c r="D52" i="24"/>
  <c r="B52" i="24"/>
  <c r="Q51" i="24"/>
  <c r="B51" i="24"/>
  <c r="Q50" i="24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O41" i="24"/>
  <c r="N41" i="24"/>
  <c r="M41" i="24"/>
  <c r="L41" i="24"/>
  <c r="L31" i="24" s="1"/>
  <c r="K41" i="24"/>
  <c r="J41" i="24"/>
  <c r="I41" i="24"/>
  <c r="H41" i="24"/>
  <c r="G41" i="24"/>
  <c r="F41" i="24"/>
  <c r="E41" i="24"/>
  <c r="D41" i="24"/>
  <c r="B41" i="24"/>
  <c r="Q40" i="24"/>
  <c r="B40" i="24"/>
  <c r="Q39" i="24"/>
  <c r="B39" i="24"/>
  <c r="Q38" i="24"/>
  <c r="B38" i="24"/>
  <c r="Q37" i="24"/>
  <c r="B37" i="24"/>
  <c r="Q36" i="24"/>
  <c r="B36" i="24"/>
  <c r="Q35" i="24"/>
  <c r="B35" i="24"/>
  <c r="Q34" i="24"/>
  <c r="B34" i="24"/>
  <c r="Q33" i="24"/>
  <c r="B33" i="24"/>
  <c r="O32" i="24"/>
  <c r="N32" i="24"/>
  <c r="M32" i="24"/>
  <c r="L32" i="24"/>
  <c r="K32" i="24"/>
  <c r="J32" i="24"/>
  <c r="I32" i="24"/>
  <c r="H32" i="24"/>
  <c r="H31" i="24" s="1"/>
  <c r="G32" i="24"/>
  <c r="F32" i="24"/>
  <c r="E32" i="24"/>
  <c r="D32" i="24"/>
  <c r="B32" i="24"/>
  <c r="O31" i="24"/>
  <c r="N31" i="24"/>
  <c r="M31" i="24"/>
  <c r="K31" i="24"/>
  <c r="I31" i="24"/>
  <c r="G31" i="24"/>
  <c r="E31" i="24"/>
  <c r="K28" i="24"/>
  <c r="K82" i="24" s="1"/>
  <c r="K87" i="24" s="1"/>
  <c r="K88" i="24" s="1"/>
  <c r="J28" i="24"/>
  <c r="J29" i="24" s="1"/>
  <c r="Q26" i="24"/>
  <c r="B26" i="24"/>
  <c r="Q25" i="24"/>
  <c r="B25" i="24"/>
  <c r="Q24" i="24"/>
  <c r="B24" i="24"/>
  <c r="Q23" i="24"/>
  <c r="B23" i="24"/>
  <c r="Q22" i="24"/>
  <c r="B22" i="24"/>
  <c r="Q21" i="24"/>
  <c r="B21" i="24"/>
  <c r="Q20" i="24"/>
  <c r="B20" i="24"/>
  <c r="Q19" i="24"/>
  <c r="B19" i="24"/>
  <c r="Q18" i="24"/>
  <c r="Q16" i="24" s="1"/>
  <c r="B18" i="24"/>
  <c r="Q17" i="24"/>
  <c r="B17" i="24"/>
  <c r="O16" i="24"/>
  <c r="N16" i="24"/>
  <c r="M16" i="24"/>
  <c r="M28" i="24" s="1"/>
  <c r="L16" i="24"/>
  <c r="K16" i="24"/>
  <c r="J16" i="24"/>
  <c r="I16" i="24"/>
  <c r="H16" i="24"/>
  <c r="G16" i="24"/>
  <c r="F16" i="24"/>
  <c r="E16" i="24"/>
  <c r="D16" i="24"/>
  <c r="Q14" i="24"/>
  <c r="I14" i="24"/>
  <c r="H14" i="24"/>
  <c r="G14" i="24"/>
  <c r="F14" i="24"/>
  <c r="E14" i="24"/>
  <c r="D14" i="24"/>
  <c r="B14" i="24"/>
  <c r="Q13" i="24"/>
  <c r="I13" i="24"/>
  <c r="H13" i="24"/>
  <c r="G13" i="24"/>
  <c r="F13" i="24"/>
  <c r="E13" i="24"/>
  <c r="D13" i="24"/>
  <c r="B13" i="24"/>
  <c r="Q12" i="24"/>
  <c r="I12" i="24"/>
  <c r="H12" i="24"/>
  <c r="G12" i="24"/>
  <c r="F12" i="24"/>
  <c r="E12" i="24"/>
  <c r="D12" i="24"/>
  <c r="B12" i="24"/>
  <c r="Q11" i="24"/>
  <c r="I11" i="24"/>
  <c r="H11" i="24"/>
  <c r="G11" i="24"/>
  <c r="G10" i="24" s="1"/>
  <c r="G28" i="24" s="1"/>
  <c r="F11" i="24"/>
  <c r="E11" i="24"/>
  <c r="D11" i="24"/>
  <c r="D10" i="24" s="1"/>
  <c r="D28" i="24" s="1"/>
  <c r="B11" i="24"/>
  <c r="Q10" i="24"/>
  <c r="Q28" i="24" s="1"/>
  <c r="O10" i="24"/>
  <c r="O28" i="24" s="1"/>
  <c r="N10" i="24"/>
  <c r="N28" i="24" s="1"/>
  <c r="M10" i="24"/>
  <c r="L10" i="24"/>
  <c r="K10" i="24"/>
  <c r="J10" i="24"/>
  <c r="I10" i="24"/>
  <c r="I28" i="24" s="1"/>
  <c r="H10" i="24"/>
  <c r="H28" i="24" s="1"/>
  <c r="F10" i="24"/>
  <c r="F28" i="24" s="1"/>
  <c r="E10" i="24"/>
  <c r="E28" i="24" s="1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3" i="21"/>
  <c r="I88" i="21"/>
  <c r="H88" i="21"/>
  <c r="G88" i="21"/>
  <c r="F88" i="21"/>
  <c r="E88" i="21"/>
  <c r="D88" i="2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Q85" i="21" s="1"/>
  <c r="B85" i="21"/>
  <c r="Q84" i="21"/>
  <c r="B84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Q83" i="21" s="1"/>
  <c r="B83" i="21"/>
  <c r="Q82" i="21"/>
  <c r="B82" i="21"/>
  <c r="Q81" i="21"/>
  <c r="B81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B80" i="21"/>
  <c r="Q79" i="21"/>
  <c r="B79" i="21"/>
  <c r="Q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F24" i="21" s="1"/>
  <c r="E74" i="21"/>
  <c r="D74" i="21"/>
  <c r="B74" i="21"/>
  <c r="Q73" i="2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Q70" i="21" s="1"/>
  <c r="B70" i="21"/>
  <c r="Q69" i="21"/>
  <c r="B69" i="21"/>
  <c r="O68" i="21"/>
  <c r="N68" i="21"/>
  <c r="M68" i="21"/>
  <c r="L68" i="21"/>
  <c r="K68" i="21"/>
  <c r="J68" i="21"/>
  <c r="J24" i="21" s="1"/>
  <c r="I68" i="21"/>
  <c r="H68" i="21"/>
  <c r="G68" i="21"/>
  <c r="F68" i="21"/>
  <c r="E68" i="21"/>
  <c r="D68" i="21"/>
  <c r="Q68" i="21" s="1"/>
  <c r="B68" i="21"/>
  <c r="Q67" i="2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Q65" i="21" s="1"/>
  <c r="B65" i="21"/>
  <c r="Q64" i="21"/>
  <c r="B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Q63" i="21" s="1"/>
  <c r="B63" i="21"/>
  <c r="Q62" i="21"/>
  <c r="B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Q61" i="21" s="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Q59" i="21" s="1"/>
  <c r="B59" i="21"/>
  <c r="Q58" i="21"/>
  <c r="B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Q57" i="21" s="1"/>
  <c r="B57" i="21"/>
  <c r="Q56" i="21"/>
  <c r="B56" i="21"/>
  <c r="O55" i="21"/>
  <c r="N55" i="21"/>
  <c r="M55" i="21"/>
  <c r="L55" i="21"/>
  <c r="L24" i="21" s="1"/>
  <c r="K55" i="21"/>
  <c r="K24" i="21" s="1"/>
  <c r="J55" i="21"/>
  <c r="I55" i="21"/>
  <c r="H55" i="21"/>
  <c r="G55" i="21"/>
  <c r="F55" i="21"/>
  <c r="E55" i="21"/>
  <c r="D55" i="2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Q52" i="21" s="1"/>
  <c r="B52" i="21"/>
  <c r="Q51" i="21"/>
  <c r="B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Q50" i="21" s="1"/>
  <c r="B50" i="21"/>
  <c r="Q49" i="21"/>
  <c r="B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B48" i="21"/>
  <c r="Q47" i="21"/>
  <c r="B47" i="21"/>
  <c r="O46" i="21"/>
  <c r="N46" i="21"/>
  <c r="N24" i="21" s="1"/>
  <c r="M46" i="21"/>
  <c r="L46" i="21"/>
  <c r="K46" i="21"/>
  <c r="J46" i="21"/>
  <c r="I46" i="21"/>
  <c r="H46" i="21"/>
  <c r="G46" i="21"/>
  <c r="F46" i="21"/>
  <c r="E46" i="21"/>
  <c r="D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M35" i="21"/>
  <c r="L35" i="21"/>
  <c r="K35" i="21"/>
  <c r="J35" i="21"/>
  <c r="I35" i="21"/>
  <c r="H35" i="21"/>
  <c r="Q35" i="21" s="1"/>
  <c r="G35" i="21"/>
  <c r="F35" i="21"/>
  <c r="E35" i="21"/>
  <c r="D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O24" i="21" s="1"/>
  <c r="N25" i="21"/>
  <c r="M25" i="21"/>
  <c r="L25" i="21"/>
  <c r="K25" i="21"/>
  <c r="J25" i="21"/>
  <c r="I25" i="21"/>
  <c r="I24" i="21" s="1"/>
  <c r="H25" i="21"/>
  <c r="H24" i="21" s="1"/>
  <c r="G25" i="21"/>
  <c r="G24" i="21" s="1"/>
  <c r="F25" i="21"/>
  <c r="E25" i="21"/>
  <c r="D25" i="21"/>
  <c r="B25" i="21"/>
  <c r="M24" i="21"/>
  <c r="E24" i="21"/>
  <c r="H21" i="21"/>
  <c r="Q19" i="21"/>
  <c r="B19" i="21"/>
  <c r="Q18" i="21"/>
  <c r="B18" i="21"/>
  <c r="Q17" i="21"/>
  <c r="Q16" i="21" s="1"/>
  <c r="B17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Q14" i="21"/>
  <c r="I14" i="21"/>
  <c r="H14" i="21"/>
  <c r="G14" i="21"/>
  <c r="F14" i="21"/>
  <c r="E14" i="21"/>
  <c r="D14" i="21"/>
  <c r="B14" i="21"/>
  <c r="Q13" i="21"/>
  <c r="I13" i="21"/>
  <c r="H13" i="21"/>
  <c r="G13" i="21"/>
  <c r="F13" i="21"/>
  <c r="E13" i="21"/>
  <c r="D13" i="21"/>
  <c r="B13" i="21"/>
  <c r="Q12" i="21"/>
  <c r="I12" i="21"/>
  <c r="H12" i="21"/>
  <c r="G12" i="21"/>
  <c r="F12" i="21"/>
  <c r="E12" i="21"/>
  <c r="D12" i="21"/>
  <c r="B12" i="21"/>
  <c r="Q11" i="21"/>
  <c r="I11" i="21"/>
  <c r="I10" i="21" s="1"/>
  <c r="I21" i="21" s="1"/>
  <c r="H11" i="21"/>
  <c r="G11" i="21"/>
  <c r="F11" i="21"/>
  <c r="E11" i="21"/>
  <c r="D11" i="21"/>
  <c r="B11" i="21"/>
  <c r="Q10" i="21"/>
  <c r="Q21" i="21" s="1"/>
  <c r="O10" i="21"/>
  <c r="O21" i="21" s="1"/>
  <c r="N10" i="21"/>
  <c r="N21" i="21" s="1"/>
  <c r="N22" i="21" s="1"/>
  <c r="M10" i="21"/>
  <c r="M21" i="21" s="1"/>
  <c r="L10" i="21"/>
  <c r="L21" i="21" s="1"/>
  <c r="K10" i="21"/>
  <c r="K21" i="21" s="1"/>
  <c r="K90" i="21" s="1"/>
  <c r="K91" i="21" s="1"/>
  <c r="J10" i="21"/>
  <c r="J21" i="21" s="1"/>
  <c r="H10" i="21"/>
  <c r="G10" i="21"/>
  <c r="G21" i="21" s="1"/>
  <c r="F10" i="21"/>
  <c r="F21" i="21" s="1"/>
  <c r="F22" i="21" s="1"/>
  <c r="E10" i="21"/>
  <c r="E21" i="21" s="1"/>
  <c r="D10" i="21"/>
  <c r="D21" i="21" s="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3" i="18"/>
  <c r="I148" i="18"/>
  <c r="H148" i="18"/>
  <c r="G148" i="18"/>
  <c r="F148" i="18"/>
  <c r="E148" i="18"/>
  <c r="D148" i="18"/>
  <c r="Q148" i="18" s="1"/>
  <c r="Q146" i="18"/>
  <c r="B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B145" i="18"/>
  <c r="Q144" i="18"/>
  <c r="B144" i="18"/>
  <c r="Q143" i="18"/>
  <c r="B143" i="18"/>
  <c r="Q142" i="18"/>
  <c r="B142" i="18"/>
  <c r="O141" i="18"/>
  <c r="N141" i="18"/>
  <c r="M141" i="18"/>
  <c r="L141" i="18"/>
  <c r="K141" i="18"/>
  <c r="J141" i="18"/>
  <c r="I141" i="18"/>
  <c r="H141" i="18"/>
  <c r="G141" i="18"/>
  <c r="F141" i="18"/>
  <c r="E141" i="18"/>
  <c r="Q141" i="18" s="1"/>
  <c r="D141" i="18"/>
  <c r="B141" i="18"/>
  <c r="Q140" i="18"/>
  <c r="B140" i="18"/>
  <c r="O139" i="18"/>
  <c r="N139" i="18"/>
  <c r="M139" i="18"/>
  <c r="L139" i="18"/>
  <c r="K139" i="18"/>
  <c r="J139" i="18"/>
  <c r="I139" i="18"/>
  <c r="H139" i="18"/>
  <c r="G139" i="18"/>
  <c r="F139" i="18"/>
  <c r="E139" i="18"/>
  <c r="Q139" i="18" s="1"/>
  <c r="D139" i="18"/>
  <c r="B139" i="18"/>
  <c r="Q138" i="18"/>
  <c r="B138" i="18"/>
  <c r="Q137" i="18"/>
  <c r="B137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B128" i="18"/>
  <c r="Q127" i="18"/>
  <c r="B127" i="18"/>
  <c r="Q126" i="18"/>
  <c r="B126" i="18"/>
  <c r="O125" i="18"/>
  <c r="N125" i="18"/>
  <c r="M125" i="18"/>
  <c r="L125" i="18"/>
  <c r="K125" i="18"/>
  <c r="J125" i="18"/>
  <c r="I125" i="18"/>
  <c r="H125" i="18"/>
  <c r="G125" i="18"/>
  <c r="F125" i="18"/>
  <c r="E125" i="18"/>
  <c r="Q125" i="18" s="1"/>
  <c r="D125" i="18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Q121" i="18" s="1"/>
  <c r="B121" i="18"/>
  <c r="Q120" i="18"/>
  <c r="B120" i="18"/>
  <c r="Q119" i="18"/>
  <c r="B119" i="18"/>
  <c r="Q118" i="18"/>
  <c r="B118" i="18"/>
  <c r="Q117" i="18"/>
  <c r="B117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B116" i="18"/>
  <c r="Q115" i="18"/>
  <c r="B115" i="18"/>
  <c r="Q114" i="18"/>
  <c r="B114" i="18"/>
  <c r="Q113" i="18"/>
  <c r="B113" i="18"/>
  <c r="Q112" i="18"/>
  <c r="B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E109" i="18"/>
  <c r="Q109" i="18" s="1"/>
  <c r="D109" i="18"/>
  <c r="B109" i="18"/>
  <c r="Q108" i="18"/>
  <c r="B108" i="18"/>
  <c r="O107" i="18"/>
  <c r="N107" i="18"/>
  <c r="M107" i="18"/>
  <c r="L107" i="18"/>
  <c r="K107" i="18"/>
  <c r="J107" i="18"/>
  <c r="I107" i="18"/>
  <c r="H107" i="18"/>
  <c r="G107" i="18"/>
  <c r="F107" i="18"/>
  <c r="E107" i="18"/>
  <c r="Q107" i="18" s="1"/>
  <c r="D107" i="18"/>
  <c r="B107" i="18"/>
  <c r="Q106" i="18"/>
  <c r="B106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B105" i="18"/>
  <c r="Q104" i="18"/>
  <c r="B104" i="18"/>
  <c r="O103" i="18"/>
  <c r="N103" i="18"/>
  <c r="M103" i="18"/>
  <c r="L103" i="18"/>
  <c r="K103" i="18"/>
  <c r="J103" i="18"/>
  <c r="I103" i="18"/>
  <c r="H103" i="18"/>
  <c r="G103" i="18"/>
  <c r="G57" i="18" s="1"/>
  <c r="F103" i="18"/>
  <c r="E103" i="18"/>
  <c r="D103" i="18"/>
  <c r="B103" i="18"/>
  <c r="Q102" i="18"/>
  <c r="B102" i="18"/>
  <c r="O101" i="18"/>
  <c r="N101" i="18"/>
  <c r="M101" i="18"/>
  <c r="L101" i="18"/>
  <c r="K101" i="18"/>
  <c r="J101" i="18"/>
  <c r="I101" i="18"/>
  <c r="H101" i="18"/>
  <c r="G101" i="18"/>
  <c r="F101" i="18"/>
  <c r="E101" i="18"/>
  <c r="Q101" i="18" s="1"/>
  <c r="D101" i="18"/>
  <c r="B101" i="18"/>
  <c r="Q100" i="18"/>
  <c r="B100" i="18"/>
  <c r="Q99" i="18"/>
  <c r="B99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B94" i="18"/>
  <c r="Q93" i="18"/>
  <c r="B93" i="18"/>
  <c r="O92" i="18"/>
  <c r="N92" i="18"/>
  <c r="M92" i="18"/>
  <c r="L92" i="18"/>
  <c r="K92" i="18"/>
  <c r="J92" i="18"/>
  <c r="I92" i="18"/>
  <c r="H92" i="18"/>
  <c r="Q92" i="18" s="1"/>
  <c r="G92" i="18"/>
  <c r="F92" i="18"/>
  <c r="E92" i="18"/>
  <c r="D92" i="18"/>
  <c r="B92" i="18"/>
  <c r="Q91" i="18"/>
  <c r="B91" i="18"/>
  <c r="Q90" i="18"/>
  <c r="B90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Q89" i="18" s="1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B86" i="18"/>
  <c r="Q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B84" i="18"/>
  <c r="Q83" i="18"/>
  <c r="B83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Q82" i="18" s="1"/>
  <c r="B82" i="18"/>
  <c r="Q81" i="18"/>
  <c r="B81" i="18"/>
  <c r="O80" i="18"/>
  <c r="N80" i="18"/>
  <c r="M80" i="18"/>
  <c r="L80" i="18"/>
  <c r="L57" i="18" s="1"/>
  <c r="K80" i="18"/>
  <c r="J80" i="18"/>
  <c r="I80" i="18"/>
  <c r="H80" i="18"/>
  <c r="G80" i="18"/>
  <c r="F80" i="18"/>
  <c r="E80" i="18"/>
  <c r="D80" i="18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O57" i="18" s="1"/>
  <c r="N69" i="18"/>
  <c r="M69" i="18"/>
  <c r="L69" i="18"/>
  <c r="K69" i="18"/>
  <c r="J69" i="18"/>
  <c r="I69" i="18"/>
  <c r="H69" i="18"/>
  <c r="G69" i="18"/>
  <c r="F69" i="18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M58" i="18"/>
  <c r="L58" i="18"/>
  <c r="K58" i="18"/>
  <c r="J58" i="18"/>
  <c r="J57" i="18" s="1"/>
  <c r="I58" i="18"/>
  <c r="I57" i="18" s="1"/>
  <c r="H58" i="18"/>
  <c r="H57" i="18" s="1"/>
  <c r="G58" i="18"/>
  <c r="F58" i="18"/>
  <c r="E58" i="18"/>
  <c r="D58" i="18"/>
  <c r="B58" i="18"/>
  <c r="N57" i="18"/>
  <c r="F57" i="18"/>
  <c r="D55" i="18"/>
  <c r="I54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B20" i="18"/>
  <c r="Q19" i="18"/>
  <c r="O19" i="18"/>
  <c r="O54" i="18" s="1"/>
  <c r="N19" i="18"/>
  <c r="M19" i="18"/>
  <c r="L19" i="18"/>
  <c r="K19" i="18"/>
  <c r="J19" i="18"/>
  <c r="I19" i="18"/>
  <c r="H19" i="18"/>
  <c r="G19" i="18"/>
  <c r="F19" i="18"/>
  <c r="E19" i="18"/>
  <c r="D19" i="18"/>
  <c r="I17" i="18"/>
  <c r="H17" i="18"/>
  <c r="G17" i="18"/>
  <c r="F17" i="18"/>
  <c r="E17" i="18"/>
  <c r="D17" i="18"/>
  <c r="Q17" i="18" s="1"/>
  <c r="B17" i="18"/>
  <c r="I16" i="18"/>
  <c r="H16" i="18"/>
  <c r="G16" i="18"/>
  <c r="F16" i="18"/>
  <c r="E16" i="18"/>
  <c r="D16" i="18"/>
  <c r="Q16" i="18" s="1"/>
  <c r="B16" i="18"/>
  <c r="I15" i="18"/>
  <c r="H15" i="18"/>
  <c r="G15" i="18"/>
  <c r="F15" i="18"/>
  <c r="E15" i="18"/>
  <c r="D15" i="18"/>
  <c r="Q15" i="18" s="1"/>
  <c r="B15" i="18"/>
  <c r="I14" i="18"/>
  <c r="H14" i="18"/>
  <c r="G14" i="18"/>
  <c r="F14" i="18"/>
  <c r="E14" i="18"/>
  <c r="D14" i="18"/>
  <c r="B14" i="18"/>
  <c r="I13" i="18"/>
  <c r="H13" i="18"/>
  <c r="G13" i="18"/>
  <c r="F13" i="18"/>
  <c r="E13" i="18"/>
  <c r="D13" i="18"/>
  <c r="Q13" i="18" s="1"/>
  <c r="B13" i="18"/>
  <c r="I12" i="18"/>
  <c r="H12" i="18"/>
  <c r="G12" i="18"/>
  <c r="F12" i="18"/>
  <c r="E12" i="18"/>
  <c r="D12" i="18"/>
  <c r="B12" i="18"/>
  <c r="I11" i="18"/>
  <c r="H11" i="18"/>
  <c r="H10" i="18" s="1"/>
  <c r="H54" i="18" s="1"/>
  <c r="G11" i="18"/>
  <c r="F11" i="18"/>
  <c r="F10" i="18" s="1"/>
  <c r="F54" i="18" s="1"/>
  <c r="E11" i="18"/>
  <c r="D11" i="18"/>
  <c r="Q11" i="18" s="1"/>
  <c r="B11" i="18"/>
  <c r="O10" i="18"/>
  <c r="N10" i="18"/>
  <c r="N54" i="18" s="1"/>
  <c r="M10" i="18"/>
  <c r="M54" i="18" s="1"/>
  <c r="M55" i="18" s="1"/>
  <c r="L10" i="18"/>
  <c r="L54" i="18" s="1"/>
  <c r="L150" i="18" s="1"/>
  <c r="K10" i="18"/>
  <c r="K54" i="18" s="1"/>
  <c r="J10" i="18"/>
  <c r="J54" i="18" s="1"/>
  <c r="I10" i="18"/>
  <c r="E10" i="18"/>
  <c r="E54" i="18" s="1"/>
  <c r="E55" i="18" s="1"/>
  <c r="D10" i="18"/>
  <c r="D54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7" i="15"/>
  <c r="I142" i="15"/>
  <c r="H142" i="15"/>
  <c r="G142" i="15"/>
  <c r="Q142" i="15" s="1"/>
  <c r="F142" i="15"/>
  <c r="E142" i="15"/>
  <c r="D142" i="15"/>
  <c r="Q140" i="15"/>
  <c r="B140" i="15"/>
  <c r="O139" i="15"/>
  <c r="N139" i="15"/>
  <c r="M139" i="15"/>
  <c r="L139" i="15"/>
  <c r="K139" i="15"/>
  <c r="J139" i="15"/>
  <c r="I139" i="15"/>
  <c r="H139" i="15"/>
  <c r="Q139" i="15" s="1"/>
  <c r="G139" i="15"/>
  <c r="F139" i="15"/>
  <c r="E139" i="15"/>
  <c r="D139" i="15"/>
  <c r="B139" i="15"/>
  <c r="Q138" i="15"/>
  <c r="B138" i="15"/>
  <c r="Q137" i="15"/>
  <c r="B137" i="15"/>
  <c r="Q136" i="15"/>
  <c r="B136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Q135" i="15" s="1"/>
  <c r="B135" i="15"/>
  <c r="Q134" i="15"/>
  <c r="B134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Q133" i="15" s="1"/>
  <c r="B133" i="15"/>
  <c r="Q132" i="15"/>
  <c r="B132" i="15"/>
  <c r="Q131" i="15"/>
  <c r="B131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Q130" i="15" s="1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K122" i="15"/>
  <c r="J122" i="15"/>
  <c r="I122" i="15"/>
  <c r="H122" i="15"/>
  <c r="Q122" i="15" s="1"/>
  <c r="G122" i="15"/>
  <c r="F122" i="15"/>
  <c r="E122" i="15"/>
  <c r="D122" i="15"/>
  <c r="B122" i="15"/>
  <c r="Q121" i="15"/>
  <c r="B121" i="15"/>
  <c r="Q120" i="15"/>
  <c r="B120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Q119" i="15" s="1"/>
  <c r="B119" i="15"/>
  <c r="Q118" i="15"/>
  <c r="B118" i="15"/>
  <c r="Q117" i="15"/>
  <c r="B117" i="15"/>
  <c r="Q116" i="15"/>
  <c r="B116" i="15"/>
  <c r="O115" i="15"/>
  <c r="N115" i="15"/>
  <c r="M115" i="15"/>
  <c r="L115" i="15"/>
  <c r="K115" i="15"/>
  <c r="J115" i="15"/>
  <c r="I115" i="15"/>
  <c r="H115" i="15"/>
  <c r="Q115" i="15" s="1"/>
  <c r="G115" i="15"/>
  <c r="F115" i="15"/>
  <c r="E115" i="15"/>
  <c r="D115" i="15"/>
  <c r="B115" i="15"/>
  <c r="Q114" i="15"/>
  <c r="B114" i="15"/>
  <c r="Q113" i="15"/>
  <c r="B113" i="15"/>
  <c r="Q112" i="15"/>
  <c r="B112" i="15"/>
  <c r="Q111" i="15"/>
  <c r="B111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B110" i="15"/>
  <c r="Q109" i="15"/>
  <c r="B109" i="15"/>
  <c r="Q108" i="15"/>
  <c r="B108" i="15"/>
  <c r="Q107" i="15"/>
  <c r="B107" i="15"/>
  <c r="Q106" i="15"/>
  <c r="B106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Q105" i="15" s="1"/>
  <c r="B105" i="15"/>
  <c r="Q104" i="15"/>
  <c r="B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Q103" i="15" s="1"/>
  <c r="B103" i="15"/>
  <c r="Q102" i="15"/>
  <c r="B102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Q101" i="15" s="1"/>
  <c r="B101" i="15"/>
  <c r="Q100" i="15"/>
  <c r="B100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Q99" i="15" s="1"/>
  <c r="B99" i="15"/>
  <c r="Q98" i="15"/>
  <c r="B98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Q97" i="15" s="1"/>
  <c r="B97" i="15"/>
  <c r="Q96" i="15"/>
  <c r="B96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Q95" i="15" s="1"/>
  <c r="B95" i="15"/>
  <c r="Q94" i="15"/>
  <c r="B94" i="15"/>
  <c r="Q93" i="15"/>
  <c r="B93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B90" i="15"/>
  <c r="Q89" i="15"/>
  <c r="B89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Q88" i="15" s="1"/>
  <c r="B88" i="15"/>
  <c r="Q87" i="15"/>
  <c r="B87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6" i="15" s="1"/>
  <c r="B86" i="15"/>
  <c r="Q85" i="15"/>
  <c r="B85" i="15"/>
  <c r="Q84" i="15"/>
  <c r="B84" i="15"/>
  <c r="O83" i="15"/>
  <c r="N83" i="15"/>
  <c r="M83" i="15"/>
  <c r="L83" i="15"/>
  <c r="K83" i="15"/>
  <c r="J83" i="15"/>
  <c r="I83" i="15"/>
  <c r="H83" i="15"/>
  <c r="G83" i="15"/>
  <c r="G51" i="15" s="1"/>
  <c r="F83" i="15"/>
  <c r="E83" i="15"/>
  <c r="D83" i="15"/>
  <c r="B83" i="15"/>
  <c r="Q82" i="15"/>
  <c r="B82" i="15"/>
  <c r="Q81" i="15"/>
  <c r="B81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B78" i="15"/>
  <c r="Q77" i="15"/>
  <c r="B77" i="15"/>
  <c r="O76" i="15"/>
  <c r="N76" i="15"/>
  <c r="M76" i="15"/>
  <c r="L76" i="15"/>
  <c r="K76" i="15"/>
  <c r="J76" i="15"/>
  <c r="I76" i="15"/>
  <c r="H76" i="15"/>
  <c r="Q76" i="15" s="1"/>
  <c r="G76" i="15"/>
  <c r="F76" i="15"/>
  <c r="E76" i="15"/>
  <c r="D76" i="15"/>
  <c r="B76" i="15"/>
  <c r="Q75" i="15"/>
  <c r="B75" i="15"/>
  <c r="O74" i="15"/>
  <c r="N74" i="15"/>
  <c r="M74" i="15"/>
  <c r="L74" i="15"/>
  <c r="K74" i="15"/>
  <c r="J74" i="15"/>
  <c r="I74" i="15"/>
  <c r="I51" i="15" s="1"/>
  <c r="H74" i="15"/>
  <c r="Q74" i="15" s="1"/>
  <c r="G74" i="15"/>
  <c r="F74" i="15"/>
  <c r="E74" i="15"/>
  <c r="D74" i="15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Q63" i="15" s="1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O51" i="15" s="1"/>
  <c r="N52" i="15"/>
  <c r="N51" i="15" s="1"/>
  <c r="M52" i="15"/>
  <c r="M51" i="15" s="1"/>
  <c r="L52" i="15"/>
  <c r="K52" i="15"/>
  <c r="J52" i="15"/>
  <c r="I52" i="15"/>
  <c r="H52" i="15"/>
  <c r="G52" i="15"/>
  <c r="F52" i="15"/>
  <c r="F51" i="15" s="1"/>
  <c r="E52" i="15"/>
  <c r="E51" i="15" s="1"/>
  <c r="D52" i="15"/>
  <c r="B52" i="15"/>
  <c r="L51" i="15"/>
  <c r="K51" i="15"/>
  <c r="N48" i="15"/>
  <c r="F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B20" i="15"/>
  <c r="Q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I17" i="15"/>
  <c r="H17" i="15"/>
  <c r="G17" i="15"/>
  <c r="F17" i="15"/>
  <c r="Q17" i="15" s="1"/>
  <c r="E17" i="15"/>
  <c r="D17" i="15"/>
  <c r="B17" i="15"/>
  <c r="I16" i="15"/>
  <c r="H16" i="15"/>
  <c r="G16" i="15"/>
  <c r="F16" i="15"/>
  <c r="E16" i="15"/>
  <c r="D16" i="15"/>
  <c r="B16" i="15"/>
  <c r="I15" i="15"/>
  <c r="H15" i="15"/>
  <c r="G15" i="15"/>
  <c r="F15" i="15"/>
  <c r="E15" i="15"/>
  <c r="D15" i="15"/>
  <c r="B15" i="15"/>
  <c r="I14" i="15"/>
  <c r="H14" i="15"/>
  <c r="G14" i="15"/>
  <c r="F14" i="15"/>
  <c r="Q14" i="15" s="1"/>
  <c r="E14" i="15"/>
  <c r="D14" i="15"/>
  <c r="B14" i="15"/>
  <c r="I13" i="15"/>
  <c r="H13" i="15"/>
  <c r="G13" i="15"/>
  <c r="F13" i="15"/>
  <c r="Q13" i="15" s="1"/>
  <c r="E13" i="15"/>
  <c r="D13" i="15"/>
  <c r="B13" i="15"/>
  <c r="I12" i="15"/>
  <c r="H12" i="15"/>
  <c r="G12" i="15"/>
  <c r="F12" i="15"/>
  <c r="E12" i="15"/>
  <c r="D12" i="15"/>
  <c r="B12" i="15"/>
  <c r="I11" i="15"/>
  <c r="H11" i="15"/>
  <c r="G11" i="15"/>
  <c r="G10" i="15" s="1"/>
  <c r="G48" i="15" s="1"/>
  <c r="F11" i="15"/>
  <c r="E11" i="15"/>
  <c r="D11" i="15"/>
  <c r="B11" i="15"/>
  <c r="O10" i="15"/>
  <c r="O48" i="15" s="1"/>
  <c r="N10" i="15"/>
  <c r="M10" i="15"/>
  <c r="M48" i="15" s="1"/>
  <c r="L10" i="15"/>
  <c r="L48" i="15" s="1"/>
  <c r="K10" i="15"/>
  <c r="K48" i="15" s="1"/>
  <c r="J10" i="15"/>
  <c r="J48" i="15" s="1"/>
  <c r="J49" i="15" s="1"/>
  <c r="I10" i="15"/>
  <c r="I48" i="15" s="1"/>
  <c r="I144" i="15" s="1"/>
  <c r="F10" i="15"/>
  <c r="E10" i="15"/>
  <c r="E48" i="15" s="1"/>
  <c r="D10" i="15"/>
  <c r="D4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4" i="12"/>
  <c r="Q149" i="12"/>
  <c r="I149" i="12"/>
  <c r="H149" i="12"/>
  <c r="G149" i="12"/>
  <c r="F149" i="12"/>
  <c r="E149" i="12"/>
  <c r="D149" i="12"/>
  <c r="Q147" i="12"/>
  <c r="B147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B146" i="12"/>
  <c r="Q145" i="12"/>
  <c r="B145" i="12"/>
  <c r="Q144" i="12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Q142" i="12" s="1"/>
  <c r="B142" i="12"/>
  <c r="Q141" i="12"/>
  <c r="B141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B140" i="12"/>
  <c r="Q139" i="12"/>
  <c r="B139" i="12"/>
  <c r="Q138" i="12"/>
  <c r="B138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B129" i="12"/>
  <c r="Q128" i="12"/>
  <c r="B128" i="12"/>
  <c r="Q127" i="12"/>
  <c r="B127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Q126" i="12" s="1"/>
  <c r="B126" i="12"/>
  <c r="Q125" i="12"/>
  <c r="B125" i="12"/>
  <c r="Q124" i="12"/>
  <c r="B124" i="12"/>
  <c r="Q123" i="12"/>
  <c r="B123" i="12"/>
  <c r="Q122" i="12"/>
  <c r="B122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Q121" i="12" s="1"/>
  <c r="B121" i="12"/>
  <c r="Q120" i="12"/>
  <c r="B120" i="12"/>
  <c r="Q119" i="12"/>
  <c r="B119" i="12"/>
  <c r="Q118" i="12"/>
  <c r="B118" i="12"/>
  <c r="Q117" i="12"/>
  <c r="B117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B116" i="12"/>
  <c r="Q115" i="12"/>
  <c r="B115" i="12"/>
  <c r="Q114" i="12"/>
  <c r="B114" i="12"/>
  <c r="Q113" i="12"/>
  <c r="B113" i="12"/>
  <c r="Q112" i="12"/>
  <c r="B112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111" i="12"/>
  <c r="Q110" i="12"/>
  <c r="B110" i="12"/>
  <c r="O109" i="12"/>
  <c r="N109" i="12"/>
  <c r="M109" i="12"/>
  <c r="L109" i="12"/>
  <c r="K109" i="12"/>
  <c r="J109" i="12"/>
  <c r="I109" i="12"/>
  <c r="H109" i="12"/>
  <c r="G109" i="12"/>
  <c r="F109" i="12"/>
  <c r="E109" i="12"/>
  <c r="Q109" i="12" s="1"/>
  <c r="D109" i="12"/>
  <c r="B109" i="12"/>
  <c r="Q108" i="12"/>
  <c r="B108" i="12"/>
  <c r="O107" i="12"/>
  <c r="N107" i="12"/>
  <c r="M107" i="12"/>
  <c r="L107" i="12"/>
  <c r="K107" i="12"/>
  <c r="J107" i="12"/>
  <c r="I107" i="12"/>
  <c r="H107" i="12"/>
  <c r="G107" i="12"/>
  <c r="F107" i="12"/>
  <c r="E107" i="12"/>
  <c r="Q107" i="12" s="1"/>
  <c r="D107" i="12"/>
  <c r="B107" i="12"/>
  <c r="Q106" i="12"/>
  <c r="B106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B105" i="12"/>
  <c r="Q104" i="12"/>
  <c r="B104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Q101" i="12" s="1"/>
  <c r="D101" i="12"/>
  <c r="B101" i="12"/>
  <c r="Q100" i="12"/>
  <c r="B100" i="12"/>
  <c r="O99" i="12"/>
  <c r="N99" i="12"/>
  <c r="M99" i="12"/>
  <c r="L99" i="12"/>
  <c r="K99" i="12"/>
  <c r="J99" i="12"/>
  <c r="I99" i="12"/>
  <c r="H99" i="12"/>
  <c r="G99" i="12"/>
  <c r="F99" i="12"/>
  <c r="E99" i="12"/>
  <c r="Q99" i="12" s="1"/>
  <c r="D99" i="12"/>
  <c r="B99" i="12"/>
  <c r="Q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Q93" i="12"/>
  <c r="B93" i="12"/>
  <c r="O92" i="12"/>
  <c r="N92" i="12"/>
  <c r="M92" i="12"/>
  <c r="L92" i="12"/>
  <c r="K92" i="12"/>
  <c r="J92" i="12"/>
  <c r="I92" i="12"/>
  <c r="H92" i="12"/>
  <c r="Q92" i="12" s="1"/>
  <c r="G92" i="12"/>
  <c r="F92" i="12"/>
  <c r="E92" i="12"/>
  <c r="D92" i="12"/>
  <c r="B92" i="12"/>
  <c r="Q91" i="12"/>
  <c r="B91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B90" i="12"/>
  <c r="Q89" i="12"/>
  <c r="B89" i="12"/>
  <c r="Q88" i="12"/>
  <c r="B88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Q87" i="12" s="1"/>
  <c r="B87" i="12"/>
  <c r="Q86" i="12"/>
  <c r="B86" i="12"/>
  <c r="Q85" i="12"/>
  <c r="B85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Q82" i="12" s="1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B80" i="12"/>
  <c r="Q79" i="12"/>
  <c r="B79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Q69" i="12"/>
  <c r="B69" i="12"/>
  <c r="Q68" i="12"/>
  <c r="B68" i="12"/>
  <c r="O67" i="12"/>
  <c r="O55" i="12" s="1"/>
  <c r="N67" i="12"/>
  <c r="M67" i="12"/>
  <c r="L67" i="12"/>
  <c r="K67" i="12"/>
  <c r="J67" i="12"/>
  <c r="I67" i="12"/>
  <c r="H67" i="12"/>
  <c r="G67" i="12"/>
  <c r="G55" i="12" s="1"/>
  <c r="F67" i="12"/>
  <c r="E67" i="12"/>
  <c r="D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O56" i="12"/>
  <c r="N56" i="12"/>
  <c r="M56" i="12"/>
  <c r="L56" i="12"/>
  <c r="K56" i="12"/>
  <c r="J56" i="12"/>
  <c r="I56" i="12"/>
  <c r="H56" i="12"/>
  <c r="Q56" i="12" s="1"/>
  <c r="G56" i="12"/>
  <c r="F56" i="12"/>
  <c r="E56" i="12"/>
  <c r="D56" i="12"/>
  <c r="B56" i="12"/>
  <c r="N55" i="12"/>
  <c r="L55" i="12"/>
  <c r="J55" i="12"/>
  <c r="H55" i="12"/>
  <c r="F55" i="12"/>
  <c r="D55" i="12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B23" i="12"/>
  <c r="Q22" i="12"/>
  <c r="B22" i="12"/>
  <c r="Q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I19" i="12"/>
  <c r="H19" i="12"/>
  <c r="G19" i="12"/>
  <c r="F19" i="12"/>
  <c r="E19" i="12"/>
  <c r="D19" i="12"/>
  <c r="B19" i="12"/>
  <c r="I18" i="12"/>
  <c r="H18" i="12"/>
  <c r="G18" i="12"/>
  <c r="F18" i="12"/>
  <c r="E18" i="12"/>
  <c r="D18" i="12"/>
  <c r="Q18" i="12" s="1"/>
  <c r="B18" i="12"/>
  <c r="I17" i="12"/>
  <c r="H17" i="12"/>
  <c r="G17" i="12"/>
  <c r="F17" i="12"/>
  <c r="E17" i="12"/>
  <c r="D17" i="12"/>
  <c r="B17" i="12"/>
  <c r="I16" i="12"/>
  <c r="H16" i="12"/>
  <c r="G16" i="12"/>
  <c r="F16" i="12"/>
  <c r="E16" i="12"/>
  <c r="D16" i="12"/>
  <c r="B16" i="12"/>
  <c r="I15" i="12"/>
  <c r="H15" i="12"/>
  <c r="G15" i="12"/>
  <c r="F15" i="12"/>
  <c r="E15" i="12"/>
  <c r="D15" i="12"/>
  <c r="B15" i="12"/>
  <c r="I14" i="12"/>
  <c r="H14" i="12"/>
  <c r="G14" i="12"/>
  <c r="F14" i="12"/>
  <c r="E14" i="12"/>
  <c r="D14" i="12"/>
  <c r="Q14" i="12" s="1"/>
  <c r="B14" i="12"/>
  <c r="I13" i="12"/>
  <c r="H13" i="12"/>
  <c r="G13" i="12"/>
  <c r="F13" i="12"/>
  <c r="E13" i="12"/>
  <c r="D13" i="12"/>
  <c r="B13" i="12"/>
  <c r="I12" i="12"/>
  <c r="H12" i="12"/>
  <c r="G12" i="12"/>
  <c r="F12" i="12"/>
  <c r="E12" i="12"/>
  <c r="D12" i="12"/>
  <c r="B12" i="12"/>
  <c r="I11" i="12"/>
  <c r="H11" i="12"/>
  <c r="H10" i="12" s="1"/>
  <c r="H52" i="12" s="1"/>
  <c r="G11" i="12"/>
  <c r="G10" i="12" s="1"/>
  <c r="G52" i="12" s="1"/>
  <c r="F11" i="12"/>
  <c r="E11" i="12"/>
  <c r="D11" i="12"/>
  <c r="B11" i="12"/>
  <c r="O10" i="12"/>
  <c r="N10" i="12"/>
  <c r="N52" i="12" s="1"/>
  <c r="M10" i="12"/>
  <c r="M52" i="12" s="1"/>
  <c r="L10" i="12"/>
  <c r="L52" i="12" s="1"/>
  <c r="L151" i="12" s="1"/>
  <c r="K10" i="12"/>
  <c r="K52" i="12" s="1"/>
  <c r="K53" i="12" s="1"/>
  <c r="J10" i="12"/>
  <c r="J52" i="12" s="1"/>
  <c r="E10" i="12"/>
  <c r="E52" i="12" s="1"/>
  <c r="D10" i="12"/>
  <c r="D52" i="12" s="1"/>
  <c r="D151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I92" i="9"/>
  <c r="H92" i="9"/>
  <c r="G92" i="9"/>
  <c r="Q92" i="9" s="1"/>
  <c r="F92" i="9"/>
  <c r="E92" i="9"/>
  <c r="D92" i="9"/>
  <c r="Q90" i="9"/>
  <c r="B90" i="9"/>
  <c r="Q89" i="9"/>
  <c r="B89" i="9"/>
  <c r="O88" i="9"/>
  <c r="N88" i="9"/>
  <c r="M88" i="9"/>
  <c r="L88" i="9"/>
  <c r="K88" i="9"/>
  <c r="J88" i="9"/>
  <c r="I88" i="9"/>
  <c r="H88" i="9"/>
  <c r="Q88" i="9" s="1"/>
  <c r="G88" i="9"/>
  <c r="F88" i="9"/>
  <c r="E88" i="9"/>
  <c r="D88" i="9"/>
  <c r="B88" i="9"/>
  <c r="Q87" i="9"/>
  <c r="B87" i="9"/>
  <c r="O86" i="9"/>
  <c r="N86" i="9"/>
  <c r="M86" i="9"/>
  <c r="L86" i="9"/>
  <c r="K86" i="9"/>
  <c r="J86" i="9"/>
  <c r="I86" i="9"/>
  <c r="H86" i="9"/>
  <c r="Q86" i="9" s="1"/>
  <c r="G86" i="9"/>
  <c r="F86" i="9"/>
  <c r="E86" i="9"/>
  <c r="D86" i="9"/>
  <c r="B86" i="9"/>
  <c r="Q85" i="9"/>
  <c r="B85" i="9"/>
  <c r="Q84" i="9"/>
  <c r="B84" i="9"/>
  <c r="O83" i="9"/>
  <c r="N83" i="9"/>
  <c r="M83" i="9"/>
  <c r="L83" i="9"/>
  <c r="K83" i="9"/>
  <c r="J83" i="9"/>
  <c r="I83" i="9"/>
  <c r="H83" i="9"/>
  <c r="G83" i="9"/>
  <c r="F83" i="9"/>
  <c r="E83" i="9"/>
  <c r="D83" i="9"/>
  <c r="Q83" i="9" s="1"/>
  <c r="B83" i="9"/>
  <c r="Q82" i="9"/>
  <c r="B82" i="9"/>
  <c r="Q81" i="9"/>
  <c r="B81" i="9"/>
  <c r="Q80" i="9"/>
  <c r="B80" i="9"/>
  <c r="Q79" i="9"/>
  <c r="B79" i="9"/>
  <c r="Q78" i="9"/>
  <c r="B78" i="9"/>
  <c r="O77" i="9"/>
  <c r="N77" i="9"/>
  <c r="M77" i="9"/>
  <c r="L77" i="9"/>
  <c r="K77" i="9"/>
  <c r="J77" i="9"/>
  <c r="I77" i="9"/>
  <c r="H77" i="9"/>
  <c r="G77" i="9"/>
  <c r="F77" i="9"/>
  <c r="E77" i="9"/>
  <c r="D77" i="9"/>
  <c r="Q77" i="9" s="1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Q75" i="9" s="1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Q67" i="9" s="1"/>
  <c r="B67" i="9"/>
  <c r="Q66" i="9"/>
  <c r="B66" i="9"/>
  <c r="Q65" i="9"/>
  <c r="B65" i="9"/>
  <c r="Q64" i="9"/>
  <c r="B64" i="9"/>
  <c r="Q63" i="9"/>
  <c r="B63" i="9"/>
  <c r="Q62" i="9"/>
  <c r="O62" i="9"/>
  <c r="N62" i="9"/>
  <c r="M62" i="9"/>
  <c r="L62" i="9"/>
  <c r="K62" i="9"/>
  <c r="J62" i="9"/>
  <c r="I62" i="9"/>
  <c r="H62" i="9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Q60" i="9" s="1"/>
  <c r="G60" i="9"/>
  <c r="F60" i="9"/>
  <c r="E60" i="9"/>
  <c r="D60" i="9"/>
  <c r="B60" i="9"/>
  <c r="Q59" i="9"/>
  <c r="B59" i="9"/>
  <c r="Q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Q57" i="9"/>
  <c r="B57" i="9"/>
  <c r="Q56" i="9"/>
  <c r="O56" i="9"/>
  <c r="N56" i="9"/>
  <c r="M56" i="9"/>
  <c r="L56" i="9"/>
  <c r="K56" i="9"/>
  <c r="J56" i="9"/>
  <c r="I56" i="9"/>
  <c r="H56" i="9"/>
  <c r="G56" i="9"/>
  <c r="F56" i="9"/>
  <c r="E56" i="9"/>
  <c r="D56" i="9"/>
  <c r="B56" i="9"/>
  <c r="Q55" i="9"/>
  <c r="B55" i="9"/>
  <c r="Q54" i="9"/>
  <c r="O54" i="9"/>
  <c r="N54" i="9"/>
  <c r="M54" i="9"/>
  <c r="L54" i="9"/>
  <c r="K54" i="9"/>
  <c r="J54" i="9"/>
  <c r="I54" i="9"/>
  <c r="H54" i="9"/>
  <c r="G54" i="9"/>
  <c r="F54" i="9"/>
  <c r="E54" i="9"/>
  <c r="D54" i="9"/>
  <c r="B54" i="9"/>
  <c r="Q53" i="9"/>
  <c r="B53" i="9"/>
  <c r="O52" i="9"/>
  <c r="N52" i="9"/>
  <c r="M52" i="9"/>
  <c r="L52" i="9"/>
  <c r="K52" i="9"/>
  <c r="J52" i="9"/>
  <c r="I52" i="9"/>
  <c r="H52" i="9"/>
  <c r="Q52" i="9" s="1"/>
  <c r="G52" i="9"/>
  <c r="F52" i="9"/>
  <c r="E52" i="9"/>
  <c r="D52" i="9"/>
  <c r="B52" i="9"/>
  <c r="Q51" i="9"/>
  <c r="B51" i="9"/>
  <c r="O50" i="9"/>
  <c r="N50" i="9"/>
  <c r="M50" i="9"/>
  <c r="L50" i="9"/>
  <c r="K50" i="9"/>
  <c r="J50" i="9"/>
  <c r="I50" i="9"/>
  <c r="H50" i="9"/>
  <c r="Q50" i="9" s="1"/>
  <c r="G50" i="9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Q47" i="9" s="1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Q45" i="9" s="1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Q43" i="9" s="1"/>
  <c r="B43" i="9"/>
  <c r="Q42" i="9"/>
  <c r="B42" i="9"/>
  <c r="O41" i="9"/>
  <c r="N41" i="9"/>
  <c r="M41" i="9"/>
  <c r="M17" i="9" s="1"/>
  <c r="L41" i="9"/>
  <c r="K41" i="9"/>
  <c r="J41" i="9"/>
  <c r="J17" i="9" s="1"/>
  <c r="I41" i="9"/>
  <c r="H41" i="9"/>
  <c r="G41" i="9"/>
  <c r="F41" i="9"/>
  <c r="E41" i="9"/>
  <c r="E17" i="9" s="1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O17" i="9" s="1"/>
  <c r="N30" i="9"/>
  <c r="M30" i="9"/>
  <c r="L30" i="9"/>
  <c r="K30" i="9"/>
  <c r="J30" i="9"/>
  <c r="I30" i="9"/>
  <c r="H30" i="9"/>
  <c r="G30" i="9"/>
  <c r="G17" i="9" s="1"/>
  <c r="F30" i="9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L17" i="9" s="1"/>
  <c r="K18" i="9"/>
  <c r="K17" i="9" s="1"/>
  <c r="J18" i="9"/>
  <c r="I18" i="9"/>
  <c r="H18" i="9"/>
  <c r="Q18" i="9" s="1"/>
  <c r="Q17" i="9" s="1"/>
  <c r="G18" i="9"/>
  <c r="F18" i="9"/>
  <c r="E18" i="9"/>
  <c r="D18" i="9"/>
  <c r="D17" i="9" s="1"/>
  <c r="B18" i="9"/>
  <c r="N17" i="9"/>
  <c r="I17" i="9"/>
  <c r="F17" i="9"/>
  <c r="O15" i="9"/>
  <c r="K15" i="9"/>
  <c r="G15" i="9"/>
  <c r="Q14" i="9"/>
  <c r="O14" i="9"/>
  <c r="L14" i="9"/>
  <c r="K14" i="9"/>
  <c r="K94" i="9" s="1"/>
  <c r="H14" i="9"/>
  <c r="G14" i="9"/>
  <c r="D14" i="9"/>
  <c r="Q12" i="9"/>
  <c r="O12" i="9"/>
  <c r="N12" i="9"/>
  <c r="M12" i="9"/>
  <c r="L12" i="9"/>
  <c r="K12" i="9"/>
  <c r="J12" i="9"/>
  <c r="I12" i="9"/>
  <c r="H12" i="9"/>
  <c r="G12" i="9"/>
  <c r="F12" i="9"/>
  <c r="E12" i="9"/>
  <c r="D12" i="9"/>
  <c r="Q10" i="9"/>
  <c r="O10" i="9"/>
  <c r="N10" i="9"/>
  <c r="N14" i="9" s="1"/>
  <c r="M10" i="9"/>
  <c r="M14" i="9" s="1"/>
  <c r="L10" i="9"/>
  <c r="K10" i="9"/>
  <c r="J10" i="9"/>
  <c r="J14" i="9" s="1"/>
  <c r="I10" i="9"/>
  <c r="I14" i="9" s="1"/>
  <c r="H10" i="9"/>
  <c r="G10" i="9"/>
  <c r="F10" i="9"/>
  <c r="F14" i="9" s="1"/>
  <c r="E10" i="9"/>
  <c r="E14" i="9" s="1"/>
  <c r="D10" i="9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Q29" i="6" s="1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Q28" i="6" s="1"/>
  <c r="I19" i="6"/>
  <c r="H19" i="6"/>
  <c r="G19" i="6"/>
  <c r="Q19" i="6" s="1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M15" i="6"/>
  <c r="I15" i="6"/>
  <c r="E15" i="6"/>
  <c r="N14" i="6"/>
  <c r="N21" i="6" s="1"/>
  <c r="M14" i="6"/>
  <c r="M21" i="6" s="1"/>
  <c r="J14" i="6"/>
  <c r="J21" i="6" s="1"/>
  <c r="I14" i="6"/>
  <c r="I21" i="6" s="1"/>
  <c r="F14" i="6"/>
  <c r="F21" i="6" s="1"/>
  <c r="E14" i="6"/>
  <c r="E21" i="6" s="1"/>
  <c r="Q12" i="6"/>
  <c r="O12" i="6"/>
  <c r="N12" i="6"/>
  <c r="M12" i="6"/>
  <c r="L12" i="6"/>
  <c r="K12" i="6"/>
  <c r="J12" i="6"/>
  <c r="I12" i="6"/>
  <c r="H12" i="6"/>
  <c r="G12" i="6"/>
  <c r="F12" i="6"/>
  <c r="E12" i="6"/>
  <c r="D12" i="6"/>
  <c r="Q10" i="6"/>
  <c r="Q14" i="6" s="1"/>
  <c r="O10" i="6"/>
  <c r="O14" i="6" s="1"/>
  <c r="N10" i="6"/>
  <c r="M10" i="6"/>
  <c r="L10" i="6"/>
  <c r="L14" i="6" s="1"/>
  <c r="K10" i="6"/>
  <c r="K14" i="6" s="1"/>
  <c r="J10" i="6"/>
  <c r="I10" i="6"/>
  <c r="H10" i="6"/>
  <c r="H14" i="6" s="1"/>
  <c r="G10" i="6"/>
  <c r="G14" i="6" s="1"/>
  <c r="F10" i="6"/>
  <c r="E10" i="6"/>
  <c r="D10" i="6"/>
  <c r="D14" i="6" s="1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5" i="3"/>
  <c r="N175" i="3"/>
  <c r="M175" i="3"/>
  <c r="L175" i="3"/>
  <c r="K175" i="3"/>
  <c r="J175" i="3"/>
  <c r="I175" i="3"/>
  <c r="H175" i="3"/>
  <c r="G175" i="3"/>
  <c r="F175" i="3"/>
  <c r="E175" i="3"/>
  <c r="Q175" i="3" s="1"/>
  <c r="D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Q174" i="3" s="1"/>
  <c r="Q169" i="3"/>
  <c r="I164" i="3"/>
  <c r="H164" i="3"/>
  <c r="G164" i="3"/>
  <c r="F164" i="3"/>
  <c r="Q164" i="3" s="1"/>
  <c r="E164" i="3"/>
  <c r="D164" i="3"/>
  <c r="Q162" i="3"/>
  <c r="B162" i="3"/>
  <c r="O161" i="3"/>
  <c r="N161" i="3"/>
  <c r="M161" i="3"/>
  <c r="L161" i="3"/>
  <c r="K161" i="3"/>
  <c r="J161" i="3"/>
  <c r="I161" i="3"/>
  <c r="H161" i="3"/>
  <c r="G161" i="3"/>
  <c r="F161" i="3"/>
  <c r="E161" i="3"/>
  <c r="Q161" i="3" s="1"/>
  <c r="D161" i="3"/>
  <c r="B161" i="3"/>
  <c r="Q160" i="3"/>
  <c r="B160" i="3"/>
  <c r="Q159" i="3"/>
  <c r="B159" i="3"/>
  <c r="Q158" i="3"/>
  <c r="B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Q157" i="3" s="1"/>
  <c r="B157" i="3"/>
  <c r="Q156" i="3"/>
  <c r="B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Q155" i="3" s="1"/>
  <c r="B155" i="3"/>
  <c r="Q154" i="3"/>
  <c r="B154" i="3"/>
  <c r="Q153" i="3"/>
  <c r="B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Q152" i="3" s="1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O141" i="3"/>
  <c r="N141" i="3"/>
  <c r="M141" i="3"/>
  <c r="L141" i="3"/>
  <c r="K141" i="3"/>
  <c r="J141" i="3"/>
  <c r="I141" i="3"/>
  <c r="H141" i="3"/>
  <c r="G141" i="3"/>
  <c r="F141" i="3"/>
  <c r="E141" i="3"/>
  <c r="Q141" i="3" s="1"/>
  <c r="D141" i="3"/>
  <c r="B141" i="3"/>
  <c r="Q140" i="3"/>
  <c r="B140" i="3"/>
  <c r="Q139" i="3"/>
  <c r="B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Q138" i="3" s="1"/>
  <c r="B138" i="3"/>
  <c r="Q137" i="3"/>
  <c r="B137" i="3"/>
  <c r="Q136" i="3"/>
  <c r="B136" i="3"/>
  <c r="Q135" i="3"/>
  <c r="B135" i="3"/>
  <c r="Q134" i="3"/>
  <c r="B134" i="3"/>
  <c r="Q133" i="3"/>
  <c r="B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Q132" i="3" s="1"/>
  <c r="B132" i="3"/>
  <c r="Q131" i="3"/>
  <c r="B131" i="3"/>
  <c r="Q130" i="3"/>
  <c r="B130" i="3"/>
  <c r="Q129" i="3"/>
  <c r="B129" i="3"/>
  <c r="Q128" i="3"/>
  <c r="B128" i="3"/>
  <c r="O127" i="3"/>
  <c r="N127" i="3"/>
  <c r="M127" i="3"/>
  <c r="L127" i="3"/>
  <c r="K127" i="3"/>
  <c r="J127" i="3"/>
  <c r="I127" i="3"/>
  <c r="H127" i="3"/>
  <c r="G127" i="3"/>
  <c r="F127" i="3"/>
  <c r="E127" i="3"/>
  <c r="Q127" i="3" s="1"/>
  <c r="D127" i="3"/>
  <c r="B127" i="3"/>
  <c r="Q126" i="3"/>
  <c r="B126" i="3"/>
  <c r="Q125" i="3"/>
  <c r="B125" i="3"/>
  <c r="Q124" i="3"/>
  <c r="B124" i="3"/>
  <c r="Q123" i="3"/>
  <c r="B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Q122" i="3" s="1"/>
  <c r="B122" i="3"/>
  <c r="Q121" i="3"/>
  <c r="B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Q120" i="3" s="1"/>
  <c r="B120" i="3"/>
  <c r="Q119" i="3"/>
  <c r="B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Q118" i="3" s="1"/>
  <c r="B118" i="3"/>
  <c r="Q117" i="3"/>
  <c r="B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Q116" i="3" s="1"/>
  <c r="B116" i="3"/>
  <c r="Q115" i="3"/>
  <c r="B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Q114" i="3" s="1"/>
  <c r="B114" i="3"/>
  <c r="Q113" i="3"/>
  <c r="B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Q112" i="3" s="1"/>
  <c r="B112" i="3"/>
  <c r="Q111" i="3"/>
  <c r="B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Q110" i="3" s="1"/>
  <c r="B110" i="3"/>
  <c r="Q109" i="3"/>
  <c r="B109" i="3"/>
  <c r="Q108" i="3"/>
  <c r="B108" i="3"/>
  <c r="O107" i="3"/>
  <c r="N107" i="3"/>
  <c r="M107" i="3"/>
  <c r="L107" i="3"/>
  <c r="K107" i="3"/>
  <c r="J107" i="3"/>
  <c r="I107" i="3"/>
  <c r="H107" i="3"/>
  <c r="G107" i="3"/>
  <c r="F107" i="3"/>
  <c r="E107" i="3"/>
  <c r="Q107" i="3" s="1"/>
  <c r="D107" i="3"/>
  <c r="B107" i="3"/>
  <c r="Q106" i="3"/>
  <c r="B106" i="3"/>
  <c r="Q105" i="3"/>
  <c r="B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Q104" i="3" s="1"/>
  <c r="B104" i="3"/>
  <c r="Q103" i="3"/>
  <c r="B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Q102" i="3" s="1"/>
  <c r="B102" i="3"/>
  <c r="Q101" i="3"/>
  <c r="B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Q100" i="3" s="1"/>
  <c r="B100" i="3"/>
  <c r="Q99" i="3"/>
  <c r="B99" i="3"/>
  <c r="O98" i="3"/>
  <c r="N98" i="3"/>
  <c r="M98" i="3"/>
  <c r="L98" i="3"/>
  <c r="K98" i="3"/>
  <c r="J98" i="3"/>
  <c r="I98" i="3"/>
  <c r="H98" i="3"/>
  <c r="G98" i="3"/>
  <c r="F98" i="3"/>
  <c r="E98" i="3"/>
  <c r="Q98" i="3" s="1"/>
  <c r="D98" i="3"/>
  <c r="B98" i="3"/>
  <c r="Q97" i="3"/>
  <c r="B97" i="3"/>
  <c r="Q96" i="3"/>
  <c r="B96" i="3"/>
  <c r="O95" i="3"/>
  <c r="N95" i="3"/>
  <c r="M95" i="3"/>
  <c r="L95" i="3"/>
  <c r="L63" i="3" s="1"/>
  <c r="K95" i="3"/>
  <c r="J95" i="3"/>
  <c r="I95" i="3"/>
  <c r="I63" i="3" s="1"/>
  <c r="H95" i="3"/>
  <c r="G95" i="3"/>
  <c r="F95" i="3"/>
  <c r="E95" i="3"/>
  <c r="D95" i="3"/>
  <c r="Q95" i="3" s="1"/>
  <c r="B95" i="3"/>
  <c r="Q94" i="3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Q92" i="3" s="1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Q90" i="3" s="1"/>
  <c r="B90" i="3"/>
  <c r="Q89" i="3"/>
  <c r="B89" i="3"/>
  <c r="O88" i="3"/>
  <c r="N88" i="3"/>
  <c r="M88" i="3"/>
  <c r="L88" i="3"/>
  <c r="K88" i="3"/>
  <c r="J88" i="3"/>
  <c r="I88" i="3"/>
  <c r="H88" i="3"/>
  <c r="G88" i="3"/>
  <c r="F88" i="3"/>
  <c r="E88" i="3"/>
  <c r="D88" i="3"/>
  <c r="Q88" i="3" s="1"/>
  <c r="B88" i="3"/>
  <c r="Q87" i="3"/>
  <c r="B87" i="3"/>
  <c r="O86" i="3"/>
  <c r="N86" i="3"/>
  <c r="N63" i="3" s="1"/>
  <c r="M86" i="3"/>
  <c r="L86" i="3"/>
  <c r="K86" i="3"/>
  <c r="J86" i="3"/>
  <c r="I86" i="3"/>
  <c r="H86" i="3"/>
  <c r="G86" i="3"/>
  <c r="F86" i="3"/>
  <c r="F63" i="3" s="1"/>
  <c r="E86" i="3"/>
  <c r="D86" i="3"/>
  <c r="Q86" i="3" s="1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O75" i="3"/>
  <c r="N75" i="3"/>
  <c r="M75" i="3"/>
  <c r="L75" i="3"/>
  <c r="K75" i="3"/>
  <c r="J75" i="3"/>
  <c r="I75" i="3"/>
  <c r="H75" i="3"/>
  <c r="G75" i="3"/>
  <c r="F75" i="3"/>
  <c r="E75" i="3"/>
  <c r="Q75" i="3" s="1"/>
  <c r="D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O64" i="3"/>
  <c r="O63" i="3" s="1"/>
  <c r="N64" i="3"/>
  <c r="M64" i="3"/>
  <c r="L64" i="3"/>
  <c r="K64" i="3"/>
  <c r="K63" i="3" s="1"/>
  <c r="J64" i="3"/>
  <c r="J63" i="3" s="1"/>
  <c r="I64" i="3"/>
  <c r="H64" i="3"/>
  <c r="G64" i="3"/>
  <c r="G63" i="3" s="1"/>
  <c r="F64" i="3"/>
  <c r="Q64" i="3" s="1"/>
  <c r="E64" i="3"/>
  <c r="D64" i="3"/>
  <c r="B64" i="3"/>
  <c r="M63" i="3"/>
  <c r="H63" i="3"/>
  <c r="E63" i="3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Q23" i="3" s="1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I21" i="3"/>
  <c r="H21" i="3"/>
  <c r="G21" i="3"/>
  <c r="F21" i="3"/>
  <c r="E21" i="3"/>
  <c r="D21" i="3"/>
  <c r="Q21" i="3" s="1"/>
  <c r="B21" i="3"/>
  <c r="I20" i="3"/>
  <c r="H20" i="3"/>
  <c r="G20" i="3"/>
  <c r="F20" i="3"/>
  <c r="E20" i="3"/>
  <c r="D20" i="3"/>
  <c r="Q20" i="3" s="1"/>
  <c r="B20" i="3"/>
  <c r="I19" i="3"/>
  <c r="H19" i="3"/>
  <c r="G19" i="3"/>
  <c r="F19" i="3"/>
  <c r="E19" i="3"/>
  <c r="D19" i="3"/>
  <c r="Q19" i="3" s="1"/>
  <c r="B19" i="3"/>
  <c r="I18" i="3"/>
  <c r="H18" i="3"/>
  <c r="G18" i="3"/>
  <c r="F18" i="3"/>
  <c r="E18" i="3"/>
  <c r="D18" i="3"/>
  <c r="Q18" i="3" s="1"/>
  <c r="B18" i="3"/>
  <c r="I17" i="3"/>
  <c r="H17" i="3"/>
  <c r="G17" i="3"/>
  <c r="F17" i="3"/>
  <c r="E17" i="3"/>
  <c r="D17" i="3"/>
  <c r="Q17" i="3" s="1"/>
  <c r="B17" i="3"/>
  <c r="I16" i="3"/>
  <c r="H16" i="3"/>
  <c r="G16" i="3"/>
  <c r="F16" i="3"/>
  <c r="E16" i="3"/>
  <c r="D16" i="3"/>
  <c r="Q16" i="3" s="1"/>
  <c r="B16" i="3"/>
  <c r="I15" i="3"/>
  <c r="H15" i="3"/>
  <c r="G15" i="3"/>
  <c r="F15" i="3"/>
  <c r="E15" i="3"/>
  <c r="D15" i="3"/>
  <c r="Q15" i="3" s="1"/>
  <c r="B15" i="3"/>
  <c r="I14" i="3"/>
  <c r="H14" i="3"/>
  <c r="G14" i="3"/>
  <c r="F14" i="3"/>
  <c r="E14" i="3"/>
  <c r="D14" i="3"/>
  <c r="Q14" i="3" s="1"/>
  <c r="B14" i="3"/>
  <c r="I13" i="3"/>
  <c r="H13" i="3"/>
  <c r="G13" i="3"/>
  <c r="F13" i="3"/>
  <c r="E13" i="3"/>
  <c r="D13" i="3"/>
  <c r="Q13" i="3" s="1"/>
  <c r="B13" i="3"/>
  <c r="I12" i="3"/>
  <c r="H12" i="3"/>
  <c r="G12" i="3"/>
  <c r="F12" i="3"/>
  <c r="E12" i="3"/>
  <c r="D12" i="3"/>
  <c r="Q12" i="3" s="1"/>
  <c r="B12" i="3"/>
  <c r="I11" i="3"/>
  <c r="I10" i="3" s="1"/>
  <c r="I60" i="3" s="1"/>
  <c r="H11" i="3"/>
  <c r="G11" i="3"/>
  <c r="F11" i="3"/>
  <c r="E11" i="3"/>
  <c r="E10" i="3" s="1"/>
  <c r="E60" i="3" s="1"/>
  <c r="D11" i="3"/>
  <c r="Q11" i="3" s="1"/>
  <c r="B11" i="3"/>
  <c r="O10" i="3"/>
  <c r="O60" i="3" s="1"/>
  <c r="N10" i="3"/>
  <c r="N60" i="3" s="1"/>
  <c r="M10" i="3"/>
  <c r="M60" i="3" s="1"/>
  <c r="L10" i="3"/>
  <c r="L60" i="3" s="1"/>
  <c r="K10" i="3"/>
  <c r="K60" i="3" s="1"/>
  <c r="J10" i="3"/>
  <c r="J60" i="3" s="1"/>
  <c r="H10" i="3"/>
  <c r="H60" i="3" s="1"/>
  <c r="G10" i="3"/>
  <c r="G60" i="3" s="1"/>
  <c r="F10" i="3"/>
  <c r="F60" i="3" s="1"/>
  <c r="O8" i="3"/>
  <c r="N8" i="3"/>
  <c r="M8" i="3"/>
  <c r="L8" i="3"/>
  <c r="K8" i="3"/>
  <c r="J8" i="3"/>
  <c r="I8" i="3"/>
  <c r="H8" i="3"/>
  <c r="G8" i="3"/>
  <c r="F8" i="3"/>
  <c r="E8" i="3"/>
  <c r="D8" i="3"/>
  <c r="D16" i="28" l="1"/>
  <c r="D25" i="28" s="1"/>
  <c r="E16" i="37"/>
  <c r="E25" i="37" s="1"/>
  <c r="D16" i="38"/>
  <c r="D17" i="38" s="1"/>
  <c r="E16" i="93"/>
  <c r="E17" i="93" s="1"/>
  <c r="E16" i="5"/>
  <c r="E17" i="5" s="1"/>
  <c r="E16" i="13"/>
  <c r="E17" i="13" s="1"/>
  <c r="D16" i="25"/>
  <c r="D25" i="25" s="1"/>
  <c r="D16" i="40"/>
  <c r="D25" i="40" s="1"/>
  <c r="G16" i="8"/>
  <c r="G17" i="8" s="1"/>
  <c r="E16" i="17"/>
  <c r="E17" i="17" s="1"/>
  <c r="G16" i="20"/>
  <c r="G17" i="20" s="1"/>
  <c r="G16" i="23"/>
  <c r="G25" i="23" s="1"/>
  <c r="D16" i="13"/>
  <c r="D17" i="13" s="1"/>
  <c r="G16" i="29"/>
  <c r="G17" i="29" s="1"/>
  <c r="G16" i="5"/>
  <c r="G25" i="5" s="1"/>
  <c r="G16" i="10"/>
  <c r="G17" i="10" s="1"/>
  <c r="E16" i="11"/>
  <c r="E25" i="11" s="1"/>
  <c r="E16" i="53"/>
  <c r="E25" i="53" s="1"/>
  <c r="G16" i="13"/>
  <c r="G17" i="13" s="1"/>
  <c r="G16" i="44"/>
  <c r="G25" i="44" s="1"/>
  <c r="E16" i="47"/>
  <c r="E25" i="47" s="1"/>
  <c r="G16" i="52"/>
  <c r="G17" i="52" s="1"/>
  <c r="G16" i="95"/>
  <c r="G25" i="95" s="1"/>
  <c r="D16" i="7"/>
  <c r="D17" i="7" s="1"/>
  <c r="D16" i="16"/>
  <c r="D17" i="16" s="1"/>
  <c r="E16" i="34"/>
  <c r="E17" i="34" s="1"/>
  <c r="G16" i="41"/>
  <c r="G17" i="41" s="1"/>
  <c r="G16" i="47"/>
  <c r="G17" i="47" s="1"/>
  <c r="G16" i="53"/>
  <c r="G17" i="53" s="1"/>
  <c r="D16" i="50"/>
  <c r="D17" i="50" s="1"/>
  <c r="G16" i="17"/>
  <c r="G17" i="17" s="1"/>
  <c r="D16" i="32"/>
  <c r="D17" i="32" s="1"/>
  <c r="E16" i="50"/>
  <c r="E17" i="50" s="1"/>
  <c r="G16" i="14"/>
  <c r="G25" i="14" s="1"/>
  <c r="D16" i="19"/>
  <c r="D17" i="19" s="1"/>
  <c r="D16" i="22"/>
  <c r="D17" i="22" s="1"/>
  <c r="E16" i="26"/>
  <c r="E25" i="26" s="1"/>
  <c r="E26" i="26" s="1"/>
  <c r="D16" i="34"/>
  <c r="D25" i="34" s="1"/>
  <c r="E16" i="41"/>
  <c r="E17" i="41" s="1"/>
  <c r="E16" i="43"/>
  <c r="E25" i="43" s="1"/>
  <c r="D16" i="44"/>
  <c r="D17" i="44" s="1"/>
  <c r="G16" i="46"/>
  <c r="G17" i="46" s="1"/>
  <c r="E16" i="95"/>
  <c r="G16" i="22"/>
  <c r="G17" i="22" s="1"/>
  <c r="E16" i="38"/>
  <c r="E25" i="38" s="1"/>
  <c r="E16" i="14"/>
  <c r="E25" i="14" s="1"/>
  <c r="D16" i="41"/>
  <c r="D17" i="41" s="1"/>
  <c r="E16" i="7"/>
  <c r="E17" i="7" s="1"/>
  <c r="G16" i="11"/>
  <c r="G25" i="11" s="1"/>
  <c r="D16" i="14"/>
  <c r="D17" i="14" s="1"/>
  <c r="E16" i="29"/>
  <c r="E17" i="29" s="1"/>
  <c r="D16" i="52"/>
  <c r="D25" i="52" s="1"/>
  <c r="D26" i="52" s="1"/>
  <c r="G16" i="94"/>
  <c r="G25" i="94" s="1"/>
  <c r="D16" i="95"/>
  <c r="D17" i="95" s="1"/>
  <c r="D16" i="49"/>
  <c r="D25" i="49" s="1"/>
  <c r="E16" i="49"/>
  <c r="E25" i="49" s="1"/>
  <c r="E16" i="4"/>
  <c r="E17" i="4" s="1"/>
  <c r="D16" i="5"/>
  <c r="D25" i="5" s="1"/>
  <c r="E16" i="19"/>
  <c r="E17" i="19" s="1"/>
  <c r="G16" i="25"/>
  <c r="G17" i="25" s="1"/>
  <c r="D16" i="26"/>
  <c r="D17" i="26" s="1"/>
  <c r="G16" i="49"/>
  <c r="G25" i="49" s="1"/>
  <c r="G16" i="4"/>
  <c r="G25" i="4" s="1"/>
  <c r="G30" i="4" s="1"/>
  <c r="E16" i="16"/>
  <c r="E17" i="16" s="1"/>
  <c r="G16" i="19"/>
  <c r="G25" i="19" s="1"/>
  <c r="E16" i="20"/>
  <c r="E17" i="20" s="1"/>
  <c r="G16" i="26"/>
  <c r="G17" i="26" s="1"/>
  <c r="E16" i="40"/>
  <c r="E17" i="40" s="1"/>
  <c r="G16" i="40"/>
  <c r="G17" i="40" s="1"/>
  <c r="G16" i="50"/>
  <c r="D16" i="11"/>
  <c r="D25" i="11" s="1"/>
  <c r="G16" i="43"/>
  <c r="G17" i="43" s="1"/>
  <c r="E16" i="44"/>
  <c r="E25" i="44" s="1"/>
  <c r="E30" i="44" s="1"/>
  <c r="G16" i="7"/>
  <c r="G17" i="7" s="1"/>
  <c r="D16" i="10"/>
  <c r="D17" i="10" s="1"/>
  <c r="E16" i="10"/>
  <c r="E17" i="10" s="1"/>
  <c r="G16" i="16"/>
  <c r="G17" i="16" s="1"/>
  <c r="D16" i="17"/>
  <c r="D25" i="17" s="1"/>
  <c r="D16" i="20"/>
  <c r="D17" i="20" s="1"/>
  <c r="E16" i="31"/>
  <c r="E17" i="31" s="1"/>
  <c r="G16" i="34"/>
  <c r="G17" i="34" s="1"/>
  <c r="D16" i="35"/>
  <c r="D25" i="35" s="1"/>
  <c r="E16" i="35"/>
  <c r="E17" i="35" s="1"/>
  <c r="G16" i="35"/>
  <c r="G25" i="35" s="1"/>
  <c r="G26" i="35" s="1"/>
  <c r="G16" i="37"/>
  <c r="G25" i="37" s="1"/>
  <c r="D16" i="43"/>
  <c r="D17" i="43" s="1"/>
  <c r="D16" i="93"/>
  <c r="D25" i="93" s="1"/>
  <c r="E16" i="25"/>
  <c r="E17" i="25" s="1"/>
  <c r="E16" i="28"/>
  <c r="E25" i="28" s="1"/>
  <c r="D16" i="46"/>
  <c r="D25" i="46" s="1"/>
  <c r="E16" i="52"/>
  <c r="E25" i="52" s="1"/>
  <c r="G16" i="93"/>
  <c r="E16" i="22"/>
  <c r="E17" i="22" s="1"/>
  <c r="D16" i="23"/>
  <c r="D25" i="23" s="1"/>
  <c r="E16" i="23"/>
  <c r="E25" i="23" s="1"/>
  <c r="G16" i="28"/>
  <c r="G17" i="28" s="1"/>
  <c r="D16" i="29"/>
  <c r="D25" i="29" s="1"/>
  <c r="G16" i="32"/>
  <c r="G25" i="32" s="1"/>
  <c r="G16" i="38"/>
  <c r="G17" i="38" s="1"/>
  <c r="D16" i="4"/>
  <c r="D17" i="4" s="1"/>
  <c r="E16" i="8"/>
  <c r="E25" i="8" s="1"/>
  <c r="D16" i="53"/>
  <c r="D17" i="53" s="1"/>
  <c r="D16" i="94"/>
  <c r="D16" i="8"/>
  <c r="D25" i="8" s="1"/>
  <c r="D16" i="31"/>
  <c r="E16" i="94"/>
  <c r="E25" i="94" s="1"/>
  <c r="E26" i="94" s="1"/>
  <c r="Q94" i="9"/>
  <c r="F166" i="3"/>
  <c r="F61" i="3"/>
  <c r="O166" i="3"/>
  <c r="O61" i="3"/>
  <c r="K21" i="6"/>
  <c r="K15" i="6"/>
  <c r="N22" i="6"/>
  <c r="N25" i="6"/>
  <c r="E15" i="9"/>
  <c r="E94" i="9"/>
  <c r="M15" i="9"/>
  <c r="M94" i="9"/>
  <c r="D21" i="6"/>
  <c r="D15" i="6"/>
  <c r="L21" i="6"/>
  <c r="L15" i="6"/>
  <c r="F15" i="9"/>
  <c r="F94" i="9"/>
  <c r="N15" i="9"/>
  <c r="N94" i="9"/>
  <c r="D94" i="9"/>
  <c r="Q22" i="21"/>
  <c r="J166" i="3"/>
  <c r="J61" i="3"/>
  <c r="N166" i="3"/>
  <c r="N61" i="3"/>
  <c r="I166" i="3"/>
  <c r="I61" i="3"/>
  <c r="M22" i="6"/>
  <c r="M25" i="6"/>
  <c r="G166" i="3"/>
  <c r="G61" i="3"/>
  <c r="H166" i="3"/>
  <c r="H61" i="3"/>
  <c r="Q10" i="3"/>
  <c r="Q60" i="3" s="1"/>
  <c r="G94" i="9"/>
  <c r="K166" i="3"/>
  <c r="K61" i="3"/>
  <c r="G21" i="6"/>
  <c r="G15" i="6"/>
  <c r="O21" i="6"/>
  <c r="O15" i="6"/>
  <c r="F22" i="6"/>
  <c r="F25" i="6"/>
  <c r="I94" i="9"/>
  <c r="I15" i="9"/>
  <c r="K95" i="9"/>
  <c r="K98" i="9"/>
  <c r="G151" i="12"/>
  <c r="G53" i="12"/>
  <c r="L61" i="3"/>
  <c r="L166" i="3"/>
  <c r="H21" i="6"/>
  <c r="H15" i="6"/>
  <c r="Q21" i="6"/>
  <c r="Q15" i="6"/>
  <c r="I25" i="6"/>
  <c r="I22" i="6"/>
  <c r="J94" i="9"/>
  <c r="J15" i="9"/>
  <c r="L94" i="9"/>
  <c r="E22" i="6"/>
  <c r="E25" i="6"/>
  <c r="M166" i="3"/>
  <c r="M61" i="3"/>
  <c r="Q63" i="3"/>
  <c r="J25" i="6"/>
  <c r="J22" i="6"/>
  <c r="O94" i="9"/>
  <c r="E61" i="3"/>
  <c r="E166" i="3"/>
  <c r="D10" i="3"/>
  <c r="D60" i="3" s="1"/>
  <c r="F15" i="6"/>
  <c r="N15" i="6"/>
  <c r="H15" i="9"/>
  <c r="Q15" i="9"/>
  <c r="D156" i="12"/>
  <c r="D152" i="12"/>
  <c r="O52" i="12"/>
  <c r="Q13" i="12"/>
  <c r="D53" i="12"/>
  <c r="I55" i="12"/>
  <c r="Q90" i="12"/>
  <c r="Q105" i="12"/>
  <c r="Q140" i="12"/>
  <c r="D49" i="15"/>
  <c r="Q16" i="15"/>
  <c r="I49" i="15"/>
  <c r="Q80" i="15"/>
  <c r="N55" i="18"/>
  <c r="N150" i="18"/>
  <c r="Q14" i="18"/>
  <c r="Q105" i="18"/>
  <c r="Q145" i="18"/>
  <c r="G22" i="21"/>
  <c r="G90" i="21"/>
  <c r="Q80" i="21"/>
  <c r="K95" i="21"/>
  <c r="E82" i="24"/>
  <c r="E29" i="24"/>
  <c r="N82" i="24"/>
  <c r="N29" i="24"/>
  <c r="M30" i="27"/>
  <c r="M85" i="27"/>
  <c r="K86" i="27"/>
  <c r="K90" i="27"/>
  <c r="E53" i="12"/>
  <c r="Q12" i="12"/>
  <c r="L53" i="12"/>
  <c r="Q103" i="12"/>
  <c r="Q137" i="12"/>
  <c r="E49" i="15"/>
  <c r="E144" i="15"/>
  <c r="O49" i="15"/>
  <c r="O144" i="15"/>
  <c r="Q15" i="15"/>
  <c r="D51" i="15"/>
  <c r="D144" i="15" s="1"/>
  <c r="Q78" i="15"/>
  <c r="H51" i="15"/>
  <c r="Q83" i="15"/>
  <c r="Q86" i="18"/>
  <c r="K57" i="18"/>
  <c r="Q103" i="18"/>
  <c r="Q136" i="18"/>
  <c r="D25" i="19"/>
  <c r="Q74" i="21"/>
  <c r="F82" i="24"/>
  <c r="F29" i="24"/>
  <c r="O82" i="24"/>
  <c r="O29" i="24"/>
  <c r="L24" i="36"/>
  <c r="L114" i="36"/>
  <c r="D63" i="3"/>
  <c r="Q11" i="12"/>
  <c r="Q19" i="12"/>
  <c r="K55" i="12"/>
  <c r="K151" i="12" s="1"/>
  <c r="Q84" i="12"/>
  <c r="Q12" i="18"/>
  <c r="Q10" i="18" s="1"/>
  <c r="Q54" i="18" s="1"/>
  <c r="I150" i="18"/>
  <c r="I55" i="18"/>
  <c r="Q84" i="18"/>
  <c r="Q128" i="18"/>
  <c r="J90" i="21"/>
  <c r="J22" i="21"/>
  <c r="H82" i="24"/>
  <c r="H29" i="24"/>
  <c r="Q29" i="24"/>
  <c r="D117" i="30"/>
  <c r="D39" i="30"/>
  <c r="I73" i="33"/>
  <c r="I77" i="33"/>
  <c r="K22" i="33"/>
  <c r="K72" i="33"/>
  <c r="G24" i="39"/>
  <c r="I82" i="24"/>
  <c r="I29" i="24"/>
  <c r="J15" i="6"/>
  <c r="D15" i="9"/>
  <c r="L15" i="9"/>
  <c r="F10" i="12"/>
  <c r="F52" i="12" s="1"/>
  <c r="Q17" i="12"/>
  <c r="Q67" i="12"/>
  <c r="Q80" i="12"/>
  <c r="Q111" i="12"/>
  <c r="Q129" i="12"/>
  <c r="Q12" i="15"/>
  <c r="Q92" i="15"/>
  <c r="J55" i="18"/>
  <c r="J150" i="18"/>
  <c r="L55" i="18"/>
  <c r="Q69" i="18"/>
  <c r="Q80" i="18"/>
  <c r="Q98" i="18"/>
  <c r="L22" i="21"/>
  <c r="L90" i="21"/>
  <c r="Q48" i="21"/>
  <c r="F90" i="21"/>
  <c r="D29" i="24"/>
  <c r="M82" i="24"/>
  <c r="M29" i="24"/>
  <c r="F39" i="30"/>
  <c r="J151" i="12"/>
  <c r="J53" i="12"/>
  <c r="H90" i="21"/>
  <c r="H22" i="21"/>
  <c r="Q55" i="21"/>
  <c r="D24" i="21"/>
  <c r="H17" i="9"/>
  <c r="H94" i="9" s="1"/>
  <c r="L156" i="12"/>
  <c r="L152" i="12"/>
  <c r="Q16" i="12"/>
  <c r="Q78" i="12"/>
  <c r="Q55" i="12" s="1"/>
  <c r="Q96" i="12"/>
  <c r="Q116" i="12"/>
  <c r="K49" i="15"/>
  <c r="K144" i="15"/>
  <c r="Q11" i="15"/>
  <c r="Q52" i="15"/>
  <c r="Q51" i="15" s="1"/>
  <c r="J51" i="15"/>
  <c r="J144" i="15" s="1"/>
  <c r="Q90" i="15"/>
  <c r="Q110" i="15"/>
  <c r="K55" i="18"/>
  <c r="K150" i="18"/>
  <c r="F55" i="18"/>
  <c r="F150" i="18"/>
  <c r="E57" i="18"/>
  <c r="E150" i="18" s="1"/>
  <c r="M57" i="18"/>
  <c r="Q96" i="18"/>
  <c r="Q111" i="18"/>
  <c r="Q116" i="18"/>
  <c r="M150" i="18"/>
  <c r="D22" i="21"/>
  <c r="D90" i="21"/>
  <c r="M22" i="21"/>
  <c r="M90" i="21"/>
  <c r="K22" i="21"/>
  <c r="Q46" i="21"/>
  <c r="N90" i="21"/>
  <c r="I145" i="15"/>
  <c r="I149" i="15"/>
  <c r="M151" i="12"/>
  <c r="M53" i="12"/>
  <c r="H53" i="12"/>
  <c r="H151" i="12"/>
  <c r="Q15" i="12"/>
  <c r="E55" i="12"/>
  <c r="E151" i="12" s="1"/>
  <c r="M55" i="12"/>
  <c r="Q94" i="12"/>
  <c r="Q146" i="12"/>
  <c r="L49" i="15"/>
  <c r="L144" i="15"/>
  <c r="G49" i="15"/>
  <c r="G144" i="15"/>
  <c r="F144" i="15"/>
  <c r="F49" i="15"/>
  <c r="L151" i="18"/>
  <c r="L155" i="18"/>
  <c r="G10" i="18"/>
  <c r="G54" i="18" s="1"/>
  <c r="O55" i="18"/>
  <c r="O150" i="18"/>
  <c r="Q94" i="18"/>
  <c r="E22" i="21"/>
  <c r="E90" i="21"/>
  <c r="Q88" i="21"/>
  <c r="F78" i="33"/>
  <c r="F81" i="33" s="1"/>
  <c r="F82" i="33" s="1"/>
  <c r="N78" i="33"/>
  <c r="N81" i="33"/>
  <c r="N82" i="33" s="1"/>
  <c r="O109" i="39"/>
  <c r="O24" i="39"/>
  <c r="N151" i="12"/>
  <c r="N53" i="12"/>
  <c r="I10" i="12"/>
  <c r="I52" i="12" s="1"/>
  <c r="M49" i="15"/>
  <c r="M144" i="15"/>
  <c r="H10" i="15"/>
  <c r="H48" i="15" s="1"/>
  <c r="N144" i="15"/>
  <c r="N49" i="15"/>
  <c r="H55" i="18"/>
  <c r="H150" i="18"/>
  <c r="O22" i="21"/>
  <c r="O90" i="21"/>
  <c r="I90" i="21"/>
  <c r="I22" i="21"/>
  <c r="Q25" i="21"/>
  <c r="Q24" i="21" s="1"/>
  <c r="Q90" i="21" s="1"/>
  <c r="G82" i="24"/>
  <c r="G29" i="24"/>
  <c r="G30" i="27"/>
  <c r="G85" i="27"/>
  <c r="E24" i="39"/>
  <c r="D57" i="18"/>
  <c r="D150" i="18" s="1"/>
  <c r="Q11" i="27"/>
  <c r="M117" i="30"/>
  <c r="M39" i="30"/>
  <c r="H10" i="30"/>
  <c r="H38" i="30" s="1"/>
  <c r="Q52" i="30"/>
  <c r="H41" i="30"/>
  <c r="Q78" i="30"/>
  <c r="L21" i="33"/>
  <c r="E24" i="33"/>
  <c r="M24" i="33"/>
  <c r="G24" i="33"/>
  <c r="G72" i="33" s="1"/>
  <c r="O24" i="33"/>
  <c r="I114" i="36"/>
  <c r="Q13" i="36"/>
  <c r="I24" i="36"/>
  <c r="Q71" i="36"/>
  <c r="L109" i="39"/>
  <c r="L24" i="39"/>
  <c r="Q27" i="39"/>
  <c r="I10" i="42"/>
  <c r="I22" i="42" s="1"/>
  <c r="F57" i="60"/>
  <c r="F15" i="60"/>
  <c r="N57" i="60"/>
  <c r="N15" i="60"/>
  <c r="I57" i="60"/>
  <c r="I15" i="60"/>
  <c r="D15" i="60"/>
  <c r="Q72" i="24"/>
  <c r="F29" i="27"/>
  <c r="I32" i="27"/>
  <c r="I85" i="27" s="1"/>
  <c r="Q63" i="27"/>
  <c r="Q71" i="27"/>
  <c r="H90" i="27"/>
  <c r="E117" i="30"/>
  <c r="E39" i="30"/>
  <c r="Q42" i="30"/>
  <c r="Q63" i="30"/>
  <c r="E16" i="32"/>
  <c r="D21" i="33"/>
  <c r="M22" i="33"/>
  <c r="M72" i="33"/>
  <c r="Q67" i="33"/>
  <c r="F73" i="33"/>
  <c r="Q12" i="36"/>
  <c r="Q10" i="36" s="1"/>
  <c r="Q23" i="36" s="1"/>
  <c r="Q69" i="36"/>
  <c r="D25" i="37"/>
  <c r="D17" i="37"/>
  <c r="H23" i="39"/>
  <c r="Q16" i="39"/>
  <c r="E26" i="39"/>
  <c r="E109" i="39" s="1"/>
  <c r="D23" i="42"/>
  <c r="O106" i="42"/>
  <c r="O23" i="42"/>
  <c r="Q14" i="42"/>
  <c r="I96" i="45"/>
  <c r="I22" i="45"/>
  <c r="Q58" i="18"/>
  <c r="Q57" i="18" s="1"/>
  <c r="Q32" i="24"/>
  <c r="Q31" i="24" s="1"/>
  <c r="Q82" i="24" s="1"/>
  <c r="K91" i="24"/>
  <c r="K92" i="24" s="1"/>
  <c r="L30" i="27"/>
  <c r="L85" i="27"/>
  <c r="Q32" i="27"/>
  <c r="O118" i="30"/>
  <c r="O122" i="30"/>
  <c r="L117" i="30"/>
  <c r="L39" i="30"/>
  <c r="F22" i="33"/>
  <c r="K24" i="36"/>
  <c r="K114" i="36"/>
  <c r="Q49" i="36"/>
  <c r="D109" i="39"/>
  <c r="D24" i="39"/>
  <c r="N109" i="39"/>
  <c r="N24" i="39"/>
  <c r="I10" i="39"/>
  <c r="I23" i="39" s="1"/>
  <c r="G26" i="39"/>
  <c r="G109" i="39" s="1"/>
  <c r="O26" i="39"/>
  <c r="I26" i="39"/>
  <c r="E106" i="42"/>
  <c r="E23" i="42"/>
  <c r="Q26" i="42"/>
  <c r="K21" i="54"/>
  <c r="K15" i="54"/>
  <c r="Q77" i="27"/>
  <c r="G118" i="30"/>
  <c r="G122" i="30"/>
  <c r="F41" i="30"/>
  <c r="F117" i="30" s="1"/>
  <c r="N41" i="30"/>
  <c r="G16" i="31"/>
  <c r="G22" i="33"/>
  <c r="O72" i="33"/>
  <c r="O22" i="33"/>
  <c r="N73" i="33"/>
  <c r="D114" i="36"/>
  <c r="G119" i="36"/>
  <c r="M109" i="39"/>
  <c r="M24" i="39"/>
  <c r="J31" i="24"/>
  <c r="J82" i="24" s="1"/>
  <c r="Q41" i="24"/>
  <c r="D31" i="24"/>
  <c r="D82" i="24" s="1"/>
  <c r="D30" i="27"/>
  <c r="D85" i="27"/>
  <c r="N29" i="27"/>
  <c r="J85" i="27"/>
  <c r="Q44" i="27"/>
  <c r="Q59" i="27"/>
  <c r="Q80" i="27"/>
  <c r="E25" i="29"/>
  <c r="I38" i="30"/>
  <c r="G39" i="30"/>
  <c r="Q73" i="30"/>
  <c r="H72" i="33"/>
  <c r="N22" i="33"/>
  <c r="Q52" i="33"/>
  <c r="Q57" i="33"/>
  <c r="Q62" i="33"/>
  <c r="M24" i="36"/>
  <c r="M114" i="36"/>
  <c r="H10" i="36"/>
  <c r="H23" i="36" s="1"/>
  <c r="J114" i="36"/>
  <c r="F109" i="39"/>
  <c r="F24" i="39"/>
  <c r="Q13" i="39"/>
  <c r="Q54" i="39"/>
  <c r="Q59" i="39"/>
  <c r="Q66" i="39"/>
  <c r="Q11" i="42"/>
  <c r="Q10" i="42" s="1"/>
  <c r="Q22" i="42" s="1"/>
  <c r="Q80" i="24"/>
  <c r="E10" i="27"/>
  <c r="E29" i="27" s="1"/>
  <c r="Q14" i="27"/>
  <c r="G32" i="27"/>
  <c r="O32" i="27"/>
  <c r="Q57" i="27"/>
  <c r="D17" i="28"/>
  <c r="J117" i="30"/>
  <c r="J39" i="30"/>
  <c r="Q12" i="30"/>
  <c r="Q71" i="30"/>
  <c r="N117" i="30"/>
  <c r="Q50" i="33"/>
  <c r="Q55" i="33"/>
  <c r="Q60" i="33"/>
  <c r="E24" i="36"/>
  <c r="E114" i="36"/>
  <c r="Q14" i="36"/>
  <c r="Q38" i="36"/>
  <c r="Q101" i="36"/>
  <c r="Q106" i="36"/>
  <c r="Q12" i="39"/>
  <c r="Q52" i="39"/>
  <c r="Q57" i="39"/>
  <c r="Q64" i="39"/>
  <c r="Q104" i="39"/>
  <c r="K106" i="42"/>
  <c r="K23" i="42"/>
  <c r="L28" i="24"/>
  <c r="K29" i="24"/>
  <c r="Q13" i="27"/>
  <c r="O30" i="27"/>
  <c r="O85" i="27"/>
  <c r="Q55" i="27"/>
  <c r="K117" i="30"/>
  <c r="K39" i="30"/>
  <c r="Q11" i="30"/>
  <c r="Q10" i="30" s="1"/>
  <c r="Q38" i="30" s="1"/>
  <c r="O39" i="30"/>
  <c r="Q69" i="30"/>
  <c r="Q115" i="30"/>
  <c r="J22" i="33"/>
  <c r="J72" i="33"/>
  <c r="Q11" i="33"/>
  <c r="Q10" i="33" s="1"/>
  <c r="Q21" i="33" s="1"/>
  <c r="E10" i="33"/>
  <c r="E21" i="33" s="1"/>
  <c r="Q35" i="33"/>
  <c r="Q48" i="33"/>
  <c r="Q24" i="33" s="1"/>
  <c r="F10" i="36"/>
  <c r="F23" i="36" s="1"/>
  <c r="O23" i="36"/>
  <c r="N24" i="36"/>
  <c r="F26" i="36"/>
  <c r="N26" i="36"/>
  <c r="N114" i="36" s="1"/>
  <c r="Q75" i="36"/>
  <c r="Q26" i="36" s="1"/>
  <c r="Q104" i="36"/>
  <c r="Q112" i="36"/>
  <c r="J23" i="39"/>
  <c r="Q11" i="39"/>
  <c r="Q50" i="39"/>
  <c r="Q75" i="39"/>
  <c r="Q86" i="39"/>
  <c r="Q102" i="39"/>
  <c r="G23" i="42"/>
  <c r="K83" i="24"/>
  <c r="Q67" i="27"/>
  <c r="G24" i="36"/>
  <c r="K109" i="39"/>
  <c r="K24" i="39"/>
  <c r="M106" i="42"/>
  <c r="M23" i="42"/>
  <c r="H106" i="42"/>
  <c r="H23" i="42"/>
  <c r="Q58" i="42"/>
  <c r="H96" i="45"/>
  <c r="H22" i="45"/>
  <c r="L96" i="45"/>
  <c r="L22" i="45"/>
  <c r="J75" i="51"/>
  <c r="J30" i="51"/>
  <c r="M15" i="55"/>
  <c r="M30" i="55"/>
  <c r="Q15" i="55"/>
  <c r="F15" i="57"/>
  <c r="F66" i="57"/>
  <c r="N66" i="57"/>
  <c r="N15" i="57"/>
  <c r="I15" i="57"/>
  <c r="I66" i="57"/>
  <c r="G73" i="58"/>
  <c r="G15" i="58"/>
  <c r="F69" i="59"/>
  <c r="F72" i="59"/>
  <c r="F73" i="59" s="1"/>
  <c r="O58" i="60"/>
  <c r="O62" i="60"/>
  <c r="I28" i="66"/>
  <c r="I32" i="66"/>
  <c r="N22" i="42"/>
  <c r="E24" i="45"/>
  <c r="Q47" i="45"/>
  <c r="M24" i="45"/>
  <c r="M96" i="45" s="1"/>
  <c r="E15" i="54"/>
  <c r="E21" i="54"/>
  <c r="M15" i="54"/>
  <c r="M21" i="54"/>
  <c r="G22" i="54"/>
  <c r="G26" i="54"/>
  <c r="G15" i="57"/>
  <c r="G66" i="57"/>
  <c r="O15" i="57"/>
  <c r="O66" i="57"/>
  <c r="J15" i="57"/>
  <c r="J25" i="42"/>
  <c r="Q47" i="42"/>
  <c r="G25" i="42"/>
  <c r="G106" i="42" s="1"/>
  <c r="I26" i="54"/>
  <c r="I22" i="54"/>
  <c r="F15" i="61"/>
  <c r="F52" i="61"/>
  <c r="N15" i="61"/>
  <c r="N52" i="61"/>
  <c r="G15" i="61"/>
  <c r="G52" i="61"/>
  <c r="L106" i="42"/>
  <c r="L23" i="42"/>
  <c r="M16" i="48"/>
  <c r="M72" i="48"/>
  <c r="G73" i="48"/>
  <c r="G77" i="48"/>
  <c r="Q41" i="48"/>
  <c r="Q18" i="48" s="1"/>
  <c r="Q72" i="48" s="1"/>
  <c r="M76" i="51"/>
  <c r="M80" i="51"/>
  <c r="H21" i="54"/>
  <c r="H15" i="54"/>
  <c r="O22" i="54"/>
  <c r="O26" i="54"/>
  <c r="K64" i="59"/>
  <c r="K68" i="59"/>
  <c r="J22" i="42"/>
  <c r="D25" i="42"/>
  <c r="D106" i="42" s="1"/>
  <c r="L25" i="42"/>
  <c r="Q90" i="45"/>
  <c r="N16" i="48"/>
  <c r="J18" i="48"/>
  <c r="J72" i="48" s="1"/>
  <c r="Q67" i="48"/>
  <c r="D72" i="48"/>
  <c r="D75" i="51"/>
  <c r="I10" i="51"/>
  <c r="I29" i="51" s="1"/>
  <c r="Q11" i="51"/>
  <c r="Q10" i="51" s="1"/>
  <c r="Q29" i="51" s="1"/>
  <c r="Q55" i="51"/>
  <c r="E32" i="51"/>
  <c r="Q73" i="51"/>
  <c r="G30" i="55"/>
  <c r="G15" i="55"/>
  <c r="H30" i="55"/>
  <c r="G17" i="55"/>
  <c r="J29" i="63"/>
  <c r="Q67" i="42"/>
  <c r="D22" i="45"/>
  <c r="F16" i="48"/>
  <c r="Q65" i="48"/>
  <c r="E77" i="48"/>
  <c r="E73" i="48"/>
  <c r="E75" i="51"/>
  <c r="O30" i="51"/>
  <c r="O75" i="51"/>
  <c r="Q44" i="51"/>
  <c r="F22" i="42"/>
  <c r="Q60" i="42"/>
  <c r="G96" i="45"/>
  <c r="G22" i="45"/>
  <c r="O96" i="45"/>
  <c r="Q14" i="45"/>
  <c r="O72" i="48"/>
  <c r="O16" i="48"/>
  <c r="Q29" i="54"/>
  <c r="O15" i="55"/>
  <c r="O30" i="55"/>
  <c r="K15" i="56"/>
  <c r="F72" i="56"/>
  <c r="F15" i="56"/>
  <c r="N72" i="56"/>
  <c r="N15" i="56"/>
  <c r="G58" i="60"/>
  <c r="G62" i="60"/>
  <c r="N39" i="67"/>
  <c r="I22" i="68"/>
  <c r="I72" i="68"/>
  <c r="D10" i="68"/>
  <c r="D21" i="68" s="1"/>
  <c r="Q11" i="68"/>
  <c r="Q10" i="68" s="1"/>
  <c r="Q21" i="68" s="1"/>
  <c r="J96" i="45"/>
  <c r="J22" i="45"/>
  <c r="Q11" i="45"/>
  <c r="E10" i="45"/>
  <c r="E21" i="45" s="1"/>
  <c r="F24" i="45"/>
  <c r="N24" i="45"/>
  <c r="N96" i="45" s="1"/>
  <c r="K18" i="48"/>
  <c r="E25" i="50"/>
  <c r="Q67" i="51"/>
  <c r="Q70" i="51"/>
  <c r="D32" i="51"/>
  <c r="H15" i="55"/>
  <c r="L72" i="56"/>
  <c r="L15" i="56"/>
  <c r="G15" i="56"/>
  <c r="O15" i="56"/>
  <c r="G17" i="56"/>
  <c r="G72" i="56" s="1"/>
  <c r="H73" i="58"/>
  <c r="H15" i="58"/>
  <c r="Q44" i="58"/>
  <c r="M17" i="58"/>
  <c r="N15" i="59"/>
  <c r="N68" i="59"/>
  <c r="K32" i="66"/>
  <c r="K28" i="66"/>
  <c r="F72" i="68"/>
  <c r="F22" i="68"/>
  <c r="L72" i="68"/>
  <c r="L22" i="68"/>
  <c r="F10" i="45"/>
  <c r="F21" i="45" s="1"/>
  <c r="Q71" i="45"/>
  <c r="L72" i="48"/>
  <c r="H30" i="51"/>
  <c r="H75" i="51"/>
  <c r="L30" i="51"/>
  <c r="Q65" i="51"/>
  <c r="N22" i="54"/>
  <c r="N26" i="54"/>
  <c r="F30" i="55"/>
  <c r="F15" i="55"/>
  <c r="E15" i="55"/>
  <c r="Q18" i="60"/>
  <c r="Q99" i="42"/>
  <c r="K24" i="45"/>
  <c r="K96" i="45" s="1"/>
  <c r="H72" i="48"/>
  <c r="H16" i="48"/>
  <c r="Q16" i="48"/>
  <c r="G30" i="51"/>
  <c r="G75" i="51"/>
  <c r="Q33" i="51"/>
  <c r="D30" i="52"/>
  <c r="D21" i="54"/>
  <c r="D15" i="54"/>
  <c r="L21" i="54"/>
  <c r="L15" i="54"/>
  <c r="I17" i="55"/>
  <c r="Q28" i="55"/>
  <c r="N30" i="55"/>
  <c r="Q57" i="57"/>
  <c r="I15" i="58"/>
  <c r="I73" i="58"/>
  <c r="E15" i="59"/>
  <c r="M15" i="59"/>
  <c r="I15" i="61"/>
  <c r="I52" i="61"/>
  <c r="M53" i="61"/>
  <c r="M57" i="61"/>
  <c r="Q44" i="65"/>
  <c r="N90" i="65"/>
  <c r="N86" i="65"/>
  <c r="Q97" i="42"/>
  <c r="Q25" i="45"/>
  <c r="D24" i="45"/>
  <c r="D96" i="45" s="1"/>
  <c r="E16" i="46"/>
  <c r="D16" i="47"/>
  <c r="I72" i="48"/>
  <c r="D18" i="48"/>
  <c r="F18" i="48"/>
  <c r="F72" i="48" s="1"/>
  <c r="N18" i="48"/>
  <c r="N72" i="48" s="1"/>
  <c r="Q61" i="51"/>
  <c r="Q24" i="55"/>
  <c r="J72" i="56"/>
  <c r="J15" i="56"/>
  <c r="K15" i="57"/>
  <c r="J73" i="58"/>
  <c r="I15" i="59"/>
  <c r="I63" i="59"/>
  <c r="D15" i="59"/>
  <c r="D63" i="59"/>
  <c r="Q18" i="59"/>
  <c r="D17" i="59"/>
  <c r="Q39" i="59"/>
  <c r="E36" i="64"/>
  <c r="E15" i="64"/>
  <c r="M36" i="64"/>
  <c r="M15" i="64"/>
  <c r="H36" i="64"/>
  <c r="H15" i="64"/>
  <c r="Q15" i="64"/>
  <c r="Q69" i="42"/>
  <c r="Q36" i="45"/>
  <c r="L76" i="51"/>
  <c r="L80" i="51"/>
  <c r="F32" i="51"/>
  <c r="F75" i="51" s="1"/>
  <c r="N32" i="51"/>
  <c r="N75" i="51" s="1"/>
  <c r="K32" i="51"/>
  <c r="K75" i="51" s="1"/>
  <c r="Q59" i="51"/>
  <c r="Q19" i="54"/>
  <c r="Q21" i="54" s="1"/>
  <c r="I30" i="55"/>
  <c r="I15" i="55"/>
  <c r="D30" i="55"/>
  <c r="D15" i="55"/>
  <c r="L30" i="55"/>
  <c r="L15" i="55"/>
  <c r="Q22" i="55"/>
  <c r="E17" i="56"/>
  <c r="D15" i="57"/>
  <c r="G17" i="58"/>
  <c r="E17" i="59"/>
  <c r="E63" i="59" s="1"/>
  <c r="M17" i="59"/>
  <c r="M63" i="59" s="1"/>
  <c r="K15" i="61"/>
  <c r="L39" i="67"/>
  <c r="Q11" i="67"/>
  <c r="G10" i="67"/>
  <c r="G38" i="67" s="1"/>
  <c r="K15" i="48"/>
  <c r="Q57" i="51"/>
  <c r="J21" i="54"/>
  <c r="J15" i="54"/>
  <c r="F21" i="54"/>
  <c r="N15" i="54"/>
  <c r="J14" i="55"/>
  <c r="Q20" i="55"/>
  <c r="Q17" i="55" s="1"/>
  <c r="Q30" i="55" s="1"/>
  <c r="I15" i="56"/>
  <c r="D15" i="56"/>
  <c r="O17" i="56"/>
  <c r="O72" i="56" s="1"/>
  <c r="K17" i="57"/>
  <c r="K66" i="57" s="1"/>
  <c r="D73" i="58"/>
  <c r="D15" i="58"/>
  <c r="E15" i="60"/>
  <c r="E57" i="60"/>
  <c r="M15" i="60"/>
  <c r="M57" i="60"/>
  <c r="E17" i="61"/>
  <c r="E52" i="61" s="1"/>
  <c r="E17" i="55"/>
  <c r="E30" i="55" s="1"/>
  <c r="K17" i="56"/>
  <c r="K72" i="56" s="1"/>
  <c r="Q67" i="56"/>
  <c r="Q18" i="57"/>
  <c r="L17" i="57"/>
  <c r="L66" i="57" s="1"/>
  <c r="Q61" i="57"/>
  <c r="E14" i="58"/>
  <c r="M14" i="58"/>
  <c r="K17" i="58"/>
  <c r="K73" i="58" s="1"/>
  <c r="Q48" i="58"/>
  <c r="Q28" i="59"/>
  <c r="Q49" i="59"/>
  <c r="Q28" i="60"/>
  <c r="Q41" i="60"/>
  <c r="Q55" i="60"/>
  <c r="D14" i="61"/>
  <c r="L14" i="61"/>
  <c r="K17" i="61"/>
  <c r="K52" i="61" s="1"/>
  <c r="Q46" i="61"/>
  <c r="E18" i="62"/>
  <c r="E98" i="62" s="1"/>
  <c r="M18" i="62"/>
  <c r="Q30" i="62"/>
  <c r="Q50" i="62"/>
  <c r="Q53" i="62"/>
  <c r="G17" i="66"/>
  <c r="Q18" i="66"/>
  <c r="Q17" i="66" s="1"/>
  <c r="Q27" i="66" s="1"/>
  <c r="O17" i="66"/>
  <c r="M39" i="67"/>
  <c r="M106" i="67"/>
  <c r="Q73" i="67"/>
  <c r="D41" i="67"/>
  <c r="E75" i="69"/>
  <c r="E30" i="69"/>
  <c r="Q39" i="61"/>
  <c r="Q45" i="62"/>
  <c r="Q65" i="62"/>
  <c r="K98" i="62"/>
  <c r="K82" i="63"/>
  <c r="K29" i="63"/>
  <c r="E72" i="56"/>
  <c r="M72" i="56"/>
  <c r="E15" i="56"/>
  <c r="H17" i="56"/>
  <c r="Q53" i="56"/>
  <c r="H15" i="57"/>
  <c r="Q15" i="57"/>
  <c r="H17" i="57"/>
  <c r="H66" i="57" s="1"/>
  <c r="Q55" i="57"/>
  <c r="Q42" i="58"/>
  <c r="Q61" i="58"/>
  <c r="G63" i="59"/>
  <c r="O15" i="59"/>
  <c r="J57" i="60"/>
  <c r="J15" i="60"/>
  <c r="Q47" i="60"/>
  <c r="Q28" i="61"/>
  <c r="G98" i="62"/>
  <c r="G16" i="62"/>
  <c r="O16" i="62"/>
  <c r="E16" i="62"/>
  <c r="G36" i="64"/>
  <c r="G15" i="64"/>
  <c r="O36" i="64"/>
  <c r="O15" i="64"/>
  <c r="K15" i="64"/>
  <c r="H30" i="65"/>
  <c r="H85" i="65"/>
  <c r="J27" i="66"/>
  <c r="J15" i="66"/>
  <c r="Q15" i="66"/>
  <c r="F39" i="67"/>
  <c r="Q51" i="56"/>
  <c r="Q17" i="56" s="1"/>
  <c r="Q72" i="56" s="1"/>
  <c r="H72" i="56"/>
  <c r="Q53" i="57"/>
  <c r="O73" i="58"/>
  <c r="O15" i="58"/>
  <c r="Q29" i="58"/>
  <c r="D17" i="58"/>
  <c r="Q40" i="58"/>
  <c r="L17" i="58"/>
  <c r="L73" i="58" s="1"/>
  <c r="Q59" i="58"/>
  <c r="H14" i="59"/>
  <c r="Q14" i="59"/>
  <c r="H14" i="60"/>
  <c r="Q14" i="60"/>
  <c r="K57" i="60"/>
  <c r="K15" i="60"/>
  <c r="Q18" i="61"/>
  <c r="H99" i="62"/>
  <c r="H103" i="62"/>
  <c r="G18" i="62"/>
  <c r="Q41" i="62"/>
  <c r="O18" i="62"/>
  <c r="O98" i="62" s="1"/>
  <c r="M82" i="63"/>
  <c r="M29" i="63"/>
  <c r="D29" i="63"/>
  <c r="L41" i="67"/>
  <c r="L106" i="67" s="1"/>
  <c r="Q55" i="69"/>
  <c r="D32" i="69"/>
  <c r="L32" i="69"/>
  <c r="L71" i="70"/>
  <c r="L23" i="71"/>
  <c r="L15" i="71"/>
  <c r="O23" i="71"/>
  <c r="O15" i="71"/>
  <c r="Q57" i="56"/>
  <c r="Q70" i="56"/>
  <c r="E17" i="57"/>
  <c r="E66" i="57" s="1"/>
  <c r="M17" i="57"/>
  <c r="M66" i="57" s="1"/>
  <c r="Q15" i="58"/>
  <c r="Q18" i="58"/>
  <c r="L15" i="59"/>
  <c r="L63" i="59"/>
  <c r="G17" i="59"/>
  <c r="O17" i="59"/>
  <c r="O63" i="59" s="1"/>
  <c r="L57" i="60"/>
  <c r="L15" i="60"/>
  <c r="O15" i="61"/>
  <c r="O52" i="61"/>
  <c r="I98" i="62"/>
  <c r="I16" i="62"/>
  <c r="D16" i="62"/>
  <c r="L16" i="62"/>
  <c r="L98" i="62"/>
  <c r="Q59" i="62"/>
  <c r="Q18" i="64"/>
  <c r="D17" i="64"/>
  <c r="D36" i="64" s="1"/>
  <c r="K30" i="65"/>
  <c r="K85" i="65"/>
  <c r="I30" i="65"/>
  <c r="I85" i="65"/>
  <c r="J106" i="67"/>
  <c r="J39" i="67"/>
  <c r="G32" i="69"/>
  <c r="Q33" i="69"/>
  <c r="H18" i="72"/>
  <c r="H24" i="72"/>
  <c r="I17" i="56"/>
  <c r="I72" i="56" s="1"/>
  <c r="J17" i="57"/>
  <c r="J66" i="57" s="1"/>
  <c r="Q64" i="57"/>
  <c r="F73" i="58"/>
  <c r="F15" i="58"/>
  <c r="N73" i="58"/>
  <c r="N15" i="58"/>
  <c r="Q52" i="58"/>
  <c r="Q42" i="59"/>
  <c r="Q53" i="59"/>
  <c r="J63" i="59"/>
  <c r="J52" i="61"/>
  <c r="J98" i="62"/>
  <c r="J16" i="62"/>
  <c r="M98" i="62"/>
  <c r="M16" i="62"/>
  <c r="Q57" i="62"/>
  <c r="Q18" i="62" s="1"/>
  <c r="Q98" i="62" s="1"/>
  <c r="Q63" i="62"/>
  <c r="L83" i="63"/>
  <c r="I15" i="64"/>
  <c r="I36" i="64"/>
  <c r="K17" i="64"/>
  <c r="K36" i="64" s="1"/>
  <c r="Q20" i="64"/>
  <c r="F45" i="64"/>
  <c r="F46" i="64" s="1"/>
  <c r="J85" i="65"/>
  <c r="J30" i="65"/>
  <c r="Q65" i="65"/>
  <c r="O15" i="66"/>
  <c r="O27" i="66"/>
  <c r="K39" i="67"/>
  <c r="K106" i="67"/>
  <c r="Q12" i="67"/>
  <c r="F41" i="67"/>
  <c r="F106" i="67" s="1"/>
  <c r="N41" i="67"/>
  <c r="N106" i="67" s="1"/>
  <c r="Q75" i="67"/>
  <c r="Q94" i="67"/>
  <c r="Q101" i="67"/>
  <c r="E72" i="68"/>
  <c r="E22" i="68"/>
  <c r="Q14" i="69"/>
  <c r="K32" i="69"/>
  <c r="Q57" i="69"/>
  <c r="F75" i="69"/>
  <c r="M21" i="70"/>
  <c r="M71" i="70" s="1"/>
  <c r="N15" i="71"/>
  <c r="N23" i="71"/>
  <c r="I24" i="72"/>
  <c r="I18" i="72"/>
  <c r="D17" i="60"/>
  <c r="D57" i="60" s="1"/>
  <c r="F98" i="62"/>
  <c r="N98" i="62"/>
  <c r="D18" i="62"/>
  <c r="D98" i="62" s="1"/>
  <c r="Q90" i="62"/>
  <c r="N82" i="63"/>
  <c r="N29" i="63"/>
  <c r="Q60" i="63"/>
  <c r="E91" i="63"/>
  <c r="E92" i="63" s="1"/>
  <c r="N45" i="64"/>
  <c r="N46" i="64" s="1"/>
  <c r="L86" i="65"/>
  <c r="L90" i="65"/>
  <c r="Q71" i="65"/>
  <c r="H10" i="67"/>
  <c r="H38" i="67" s="1"/>
  <c r="Q71" i="67"/>
  <c r="M22" i="68"/>
  <c r="K22" i="68"/>
  <c r="K24" i="68"/>
  <c r="K72" i="68" s="1"/>
  <c r="Q35" i="68"/>
  <c r="Q48" i="68"/>
  <c r="Q70" i="68"/>
  <c r="K75" i="69"/>
  <c r="Q12" i="69"/>
  <c r="J71" i="70"/>
  <c r="J19" i="70"/>
  <c r="O71" i="70"/>
  <c r="J23" i="71"/>
  <c r="J15" i="71"/>
  <c r="Q79" i="62"/>
  <c r="Q88" i="62"/>
  <c r="Q93" i="62"/>
  <c r="F82" i="63"/>
  <c r="F29" i="63"/>
  <c r="O29" i="63"/>
  <c r="O82" i="63"/>
  <c r="Q58" i="63"/>
  <c r="L91" i="63"/>
  <c r="L92" i="63" s="1"/>
  <c r="F15" i="64"/>
  <c r="D85" i="65"/>
  <c r="L30" i="65"/>
  <c r="Q33" i="65"/>
  <c r="Q59" i="65"/>
  <c r="F85" i="65"/>
  <c r="D14" i="66"/>
  <c r="L14" i="66"/>
  <c r="Q25" i="66"/>
  <c r="D39" i="67"/>
  <c r="D106" i="67"/>
  <c r="Q69" i="67"/>
  <c r="Q87" i="67"/>
  <c r="Q91" i="67"/>
  <c r="N72" i="68"/>
  <c r="Q25" i="68"/>
  <c r="D24" i="68"/>
  <c r="Q46" i="68"/>
  <c r="L75" i="69"/>
  <c r="L30" i="69"/>
  <c r="Q11" i="69"/>
  <c r="Q10" i="69" s="1"/>
  <c r="Q29" i="69" s="1"/>
  <c r="G10" i="69"/>
  <c r="G29" i="69" s="1"/>
  <c r="I32" i="69"/>
  <c r="K19" i="70"/>
  <c r="F19" i="70"/>
  <c r="L19" i="70"/>
  <c r="K23" i="71"/>
  <c r="K15" i="71"/>
  <c r="G85" i="73"/>
  <c r="G89" i="73"/>
  <c r="D17" i="57"/>
  <c r="D66" i="57" s="1"/>
  <c r="Q44" i="61"/>
  <c r="H52" i="61"/>
  <c r="Q77" i="62"/>
  <c r="Q86" i="62"/>
  <c r="G29" i="63"/>
  <c r="G82" i="63"/>
  <c r="Q11" i="63"/>
  <c r="Q10" i="63" s="1"/>
  <c r="Q28" i="63" s="1"/>
  <c r="Q56" i="63"/>
  <c r="J15" i="64"/>
  <c r="J36" i="64"/>
  <c r="L36" i="64"/>
  <c r="M30" i="65"/>
  <c r="Q57" i="65"/>
  <c r="Q83" i="65"/>
  <c r="E14" i="66"/>
  <c r="M14" i="66"/>
  <c r="O106" i="67"/>
  <c r="O39" i="67"/>
  <c r="Q67" i="67"/>
  <c r="Q80" i="67"/>
  <c r="E106" i="67"/>
  <c r="E24" i="68"/>
  <c r="M24" i="68"/>
  <c r="M72" i="68" s="1"/>
  <c r="G24" i="68"/>
  <c r="G72" i="68" s="1"/>
  <c r="O24" i="68"/>
  <c r="O72" i="68" s="1"/>
  <c r="Q60" i="68"/>
  <c r="M75" i="69"/>
  <c r="M30" i="69"/>
  <c r="H10" i="69"/>
  <c r="H29" i="69" s="1"/>
  <c r="J32" i="69"/>
  <c r="J75" i="69" s="1"/>
  <c r="Q65" i="69"/>
  <c r="G10" i="70"/>
  <c r="G18" i="70" s="1"/>
  <c r="J18" i="72"/>
  <c r="J24" i="72"/>
  <c r="E23" i="74"/>
  <c r="E88" i="74"/>
  <c r="Q69" i="62"/>
  <c r="H29" i="63"/>
  <c r="H82" i="63"/>
  <c r="I31" i="63"/>
  <c r="I82" i="63" s="1"/>
  <c r="Q41" i="63"/>
  <c r="D31" i="63"/>
  <c r="D82" i="63" s="1"/>
  <c r="Q54" i="63"/>
  <c r="Q31" i="63" s="1"/>
  <c r="N15" i="64"/>
  <c r="Q31" i="64"/>
  <c r="F37" i="64"/>
  <c r="O30" i="65"/>
  <c r="O85" i="65"/>
  <c r="Q55" i="65"/>
  <c r="Q77" i="65"/>
  <c r="F27" i="66"/>
  <c r="F15" i="66"/>
  <c r="N27" i="66"/>
  <c r="N15" i="66"/>
  <c r="G15" i="66"/>
  <c r="G27" i="66"/>
  <c r="Q52" i="67"/>
  <c r="Q78" i="67"/>
  <c r="G22" i="68"/>
  <c r="Q55" i="68"/>
  <c r="J72" i="68"/>
  <c r="N75" i="69"/>
  <c r="N30" i="69"/>
  <c r="I29" i="69"/>
  <c r="O75" i="69"/>
  <c r="O30" i="69"/>
  <c r="F24" i="72"/>
  <c r="F18" i="72"/>
  <c r="M89" i="74"/>
  <c r="M93" i="74"/>
  <c r="D17" i="56"/>
  <c r="D72" i="56" s="1"/>
  <c r="Q67" i="62"/>
  <c r="J31" i="63"/>
  <c r="J82" i="63" s="1"/>
  <c r="Q52" i="63"/>
  <c r="Q24" i="64"/>
  <c r="Q29" i="64"/>
  <c r="G30" i="65"/>
  <c r="G85" i="65"/>
  <c r="Q11" i="65"/>
  <c r="Q10" i="65" s="1"/>
  <c r="Q29" i="65" s="1"/>
  <c r="E32" i="65"/>
  <c r="E85" i="65" s="1"/>
  <c r="M32" i="65"/>
  <c r="M85" i="65" s="1"/>
  <c r="Q80" i="65"/>
  <c r="D32" i="65"/>
  <c r="H27" i="66"/>
  <c r="H15" i="66"/>
  <c r="I38" i="67"/>
  <c r="Q14" i="67"/>
  <c r="Q42" i="67"/>
  <c r="Q41" i="67" s="1"/>
  <c r="Q63" i="67"/>
  <c r="I41" i="67"/>
  <c r="Q104" i="67"/>
  <c r="H22" i="68"/>
  <c r="H72" i="68"/>
  <c r="N22" i="68"/>
  <c r="D75" i="69"/>
  <c r="D30" i="69"/>
  <c r="Q61" i="69"/>
  <c r="Q32" i="70"/>
  <c r="D21" i="70"/>
  <c r="E21" i="70"/>
  <c r="Q59" i="70"/>
  <c r="F14" i="71"/>
  <c r="H24" i="71"/>
  <c r="H28" i="71"/>
  <c r="K29" i="72"/>
  <c r="K25" i="72"/>
  <c r="Q12" i="70"/>
  <c r="Q51" i="70"/>
  <c r="K21" i="70"/>
  <c r="K71" i="70" s="1"/>
  <c r="Q69" i="70"/>
  <c r="G23" i="71"/>
  <c r="D29" i="72"/>
  <c r="D25" i="72"/>
  <c r="Q12" i="72"/>
  <c r="N24" i="72"/>
  <c r="F84" i="73"/>
  <c r="F20" i="73"/>
  <c r="N84" i="73"/>
  <c r="N20" i="73"/>
  <c r="G29" i="75"/>
  <c r="G21" i="75"/>
  <c r="O29" i="75"/>
  <c r="O21" i="75"/>
  <c r="I29" i="75"/>
  <c r="I21" i="75"/>
  <c r="H18" i="70"/>
  <c r="Q11" i="70"/>
  <c r="I21" i="70"/>
  <c r="Q49" i="70"/>
  <c r="I14" i="71"/>
  <c r="E24" i="72"/>
  <c r="E18" i="72"/>
  <c r="Q11" i="72"/>
  <c r="Q10" i="72" s="1"/>
  <c r="Q17" i="72" s="1"/>
  <c r="J73" i="78"/>
  <c r="J15" i="78"/>
  <c r="Q46" i="78"/>
  <c r="M74" i="78"/>
  <c r="M78" i="78"/>
  <c r="N19" i="70"/>
  <c r="Q43" i="70"/>
  <c r="Q21" i="70" s="1"/>
  <c r="L29" i="72"/>
  <c r="L25" i="72"/>
  <c r="G10" i="72"/>
  <c r="G17" i="72" s="1"/>
  <c r="L18" i="72"/>
  <c r="K20" i="73"/>
  <c r="K23" i="74"/>
  <c r="O89" i="74"/>
  <c r="O93" i="74"/>
  <c r="Q12" i="76"/>
  <c r="F10" i="76"/>
  <c r="F21" i="76" s="1"/>
  <c r="H90" i="76"/>
  <c r="H22" i="76"/>
  <c r="Q70" i="69"/>
  <c r="E23" i="71"/>
  <c r="E15" i="71"/>
  <c r="M23" i="71"/>
  <c r="M15" i="71"/>
  <c r="M24" i="72"/>
  <c r="M18" i="72"/>
  <c r="L88" i="74"/>
  <c r="L23" i="74"/>
  <c r="G10" i="74"/>
  <c r="G22" i="74" s="1"/>
  <c r="Q61" i="74"/>
  <c r="K22" i="76"/>
  <c r="I25" i="80"/>
  <c r="I15" i="80"/>
  <c r="D10" i="70"/>
  <c r="D18" i="70" s="1"/>
  <c r="I10" i="70"/>
  <c r="I18" i="70" s="1"/>
  <c r="F21" i="70"/>
  <c r="F71" i="70" s="1"/>
  <c r="N21" i="70"/>
  <c r="N71" i="70" s="1"/>
  <c r="D23" i="71"/>
  <c r="D15" i="71"/>
  <c r="E71" i="70"/>
  <c r="Q18" i="71"/>
  <c r="Q17" i="71" s="1"/>
  <c r="Q23" i="71" s="1"/>
  <c r="O24" i="72"/>
  <c r="O18" i="72"/>
  <c r="D84" i="73"/>
  <c r="D20" i="73"/>
  <c r="M84" i="73"/>
  <c r="M20" i="73"/>
  <c r="O22" i="73"/>
  <c r="O84" i="73" s="1"/>
  <c r="I25" i="74"/>
  <c r="I88" i="74" s="1"/>
  <c r="F20" i="75"/>
  <c r="N20" i="75"/>
  <c r="M30" i="75"/>
  <c r="M34" i="75"/>
  <c r="Q85" i="76"/>
  <c r="D24" i="76"/>
  <c r="E84" i="73"/>
  <c r="E20" i="73"/>
  <c r="H20" i="73"/>
  <c r="H84" i="73"/>
  <c r="Q48" i="73"/>
  <c r="Q11" i="74"/>
  <c r="I23" i="74"/>
  <c r="Q49" i="74"/>
  <c r="Q65" i="74"/>
  <c r="L30" i="75"/>
  <c r="L34" i="75"/>
  <c r="Q14" i="76"/>
  <c r="E90" i="76"/>
  <c r="E22" i="76"/>
  <c r="Q55" i="76"/>
  <c r="K28" i="77"/>
  <c r="K24" i="77"/>
  <c r="H73" i="78"/>
  <c r="H15" i="78"/>
  <c r="Q15" i="78"/>
  <c r="L15" i="78"/>
  <c r="D10" i="82"/>
  <c r="D21" i="82" s="1"/>
  <c r="Q11" i="82"/>
  <c r="Q10" i="82" s="1"/>
  <c r="Q21" i="82" s="1"/>
  <c r="L84" i="73"/>
  <c r="Q46" i="73"/>
  <c r="E22" i="73"/>
  <c r="M22" i="73"/>
  <c r="J23" i="74"/>
  <c r="J88" i="74"/>
  <c r="Q47" i="74"/>
  <c r="Q25" i="74" s="1"/>
  <c r="Q63" i="74"/>
  <c r="K29" i="75"/>
  <c r="I90" i="76"/>
  <c r="I22" i="76"/>
  <c r="L22" i="76"/>
  <c r="Q48" i="78"/>
  <c r="Q23" i="73"/>
  <c r="Q61" i="73"/>
  <c r="Q66" i="73"/>
  <c r="I84" i="73"/>
  <c r="Q57" i="74"/>
  <c r="Q78" i="74"/>
  <c r="Q83" i="74"/>
  <c r="H29" i="75"/>
  <c r="H21" i="75"/>
  <c r="G23" i="77"/>
  <c r="G15" i="77"/>
  <c r="O23" i="77"/>
  <c r="O15" i="77"/>
  <c r="I23" i="77"/>
  <c r="I15" i="77"/>
  <c r="I17" i="78"/>
  <c r="D25" i="80"/>
  <c r="D15" i="80"/>
  <c r="L25" i="80"/>
  <c r="L15" i="80"/>
  <c r="N18" i="72"/>
  <c r="Q11" i="73"/>
  <c r="Q10" i="73" s="1"/>
  <c r="Q19" i="73" s="1"/>
  <c r="Q59" i="73"/>
  <c r="N89" i="74"/>
  <c r="N93" i="74"/>
  <c r="Q14" i="74"/>
  <c r="N23" i="74"/>
  <c r="Q55" i="74"/>
  <c r="Q74" i="74"/>
  <c r="D30" i="75"/>
  <c r="D34" i="75"/>
  <c r="D21" i="75"/>
  <c r="K24" i="76"/>
  <c r="K90" i="76" s="1"/>
  <c r="L26" i="81"/>
  <c r="L30" i="81"/>
  <c r="J19" i="83"/>
  <c r="J86" i="83"/>
  <c r="Q57" i="73"/>
  <c r="Q76" i="73"/>
  <c r="F22" i="74"/>
  <c r="Q13" i="74"/>
  <c r="K25" i="74"/>
  <c r="K88" i="74" s="1"/>
  <c r="Q53" i="74"/>
  <c r="J29" i="75"/>
  <c r="J21" i="75"/>
  <c r="Q11" i="75"/>
  <c r="Q10" i="75" s="1"/>
  <c r="E10" i="75"/>
  <c r="E20" i="75" s="1"/>
  <c r="Q15" i="75"/>
  <c r="N90" i="76"/>
  <c r="Q41" i="78"/>
  <c r="M25" i="81"/>
  <c r="M15" i="81"/>
  <c r="J20" i="73"/>
  <c r="J84" i="73"/>
  <c r="L20" i="73"/>
  <c r="K22" i="73"/>
  <c r="K84" i="73" s="1"/>
  <c r="Q50" i="73"/>
  <c r="Q55" i="73"/>
  <c r="Q70" i="73"/>
  <c r="Q79" i="73"/>
  <c r="Q12" i="74"/>
  <c r="H23" i="74"/>
  <c r="H88" i="74"/>
  <c r="Q51" i="74"/>
  <c r="Q68" i="74"/>
  <c r="L21" i="75"/>
  <c r="Q24" i="75"/>
  <c r="Q23" i="75" s="1"/>
  <c r="Q52" i="78"/>
  <c r="D10" i="74"/>
  <c r="D22" i="74" s="1"/>
  <c r="H25" i="74"/>
  <c r="H23" i="75"/>
  <c r="J90" i="76"/>
  <c r="J22" i="76"/>
  <c r="Q13" i="76"/>
  <c r="Q68" i="76"/>
  <c r="Q88" i="76"/>
  <c r="F23" i="77"/>
  <c r="F15" i="77"/>
  <c r="N23" i="77"/>
  <c r="N15" i="77"/>
  <c r="H15" i="77"/>
  <c r="H23" i="77"/>
  <c r="Q18" i="77"/>
  <c r="Q17" i="77" s="1"/>
  <c r="Q57" i="78"/>
  <c r="O73" i="78"/>
  <c r="F27" i="79"/>
  <c r="F15" i="79"/>
  <c r="N27" i="79"/>
  <c r="N15" i="79"/>
  <c r="Q15" i="80"/>
  <c r="H25" i="80"/>
  <c r="G15" i="81"/>
  <c r="G25" i="81"/>
  <c r="J25" i="81"/>
  <c r="J15" i="81"/>
  <c r="G22" i="82"/>
  <c r="G91" i="82"/>
  <c r="K15" i="85"/>
  <c r="K25" i="85"/>
  <c r="Q53" i="73"/>
  <c r="Q11" i="76"/>
  <c r="M90" i="76"/>
  <c r="M22" i="76"/>
  <c r="Q52" i="76"/>
  <c r="Q15" i="77"/>
  <c r="Q23" i="77"/>
  <c r="J23" i="77"/>
  <c r="K15" i="78"/>
  <c r="K73" i="78"/>
  <c r="Q18" i="78"/>
  <c r="D17" i="78"/>
  <c r="L17" i="78"/>
  <c r="L73" i="78" s="1"/>
  <c r="Q39" i="78"/>
  <c r="O25" i="81"/>
  <c r="J91" i="82"/>
  <c r="J22" i="82"/>
  <c r="G10" i="76"/>
  <c r="G21" i="76" s="1"/>
  <c r="Q50" i="76"/>
  <c r="Q81" i="76"/>
  <c r="D15" i="77"/>
  <c r="E28" i="79"/>
  <c r="E32" i="79"/>
  <c r="F25" i="80"/>
  <c r="F15" i="80"/>
  <c r="E23" i="77"/>
  <c r="E15" i="77"/>
  <c r="M23" i="77"/>
  <c r="M15" i="77"/>
  <c r="J27" i="79"/>
  <c r="J15" i="79"/>
  <c r="G27" i="79"/>
  <c r="F25" i="81"/>
  <c r="F15" i="81"/>
  <c r="N25" i="81"/>
  <c r="N15" i="81"/>
  <c r="Q50" i="82"/>
  <c r="E24" i="82"/>
  <c r="M15" i="84"/>
  <c r="M47" i="84"/>
  <c r="I89" i="89"/>
  <c r="I22" i="89"/>
  <c r="O21" i="76"/>
  <c r="Q25" i="76"/>
  <c r="L24" i="76"/>
  <c r="L90" i="76" s="1"/>
  <c r="Q46" i="76"/>
  <c r="L15" i="77"/>
  <c r="F73" i="78"/>
  <c r="F15" i="78"/>
  <c r="N73" i="78"/>
  <c r="N15" i="78"/>
  <c r="I15" i="78"/>
  <c r="I73" i="78"/>
  <c r="D73" i="78"/>
  <c r="D15" i="78"/>
  <c r="M27" i="79"/>
  <c r="M15" i="79"/>
  <c r="I28" i="79"/>
  <c r="I32" i="79"/>
  <c r="D22" i="76"/>
  <c r="D90" i="76"/>
  <c r="D28" i="77"/>
  <c r="D24" i="77"/>
  <c r="L28" i="77"/>
  <c r="L24" i="77"/>
  <c r="G78" i="78"/>
  <c r="G74" i="78"/>
  <c r="E73" i="78"/>
  <c r="E15" i="78"/>
  <c r="O15" i="79"/>
  <c r="O27" i="79"/>
  <c r="O33" i="86"/>
  <c r="O17" i="86"/>
  <c r="H14" i="79"/>
  <c r="Q14" i="79"/>
  <c r="D27" i="79"/>
  <c r="E21" i="82"/>
  <c r="I10" i="82"/>
  <c r="I21" i="82" s="1"/>
  <c r="G86" i="83"/>
  <c r="G19" i="83"/>
  <c r="Q18" i="84"/>
  <c r="E17" i="84"/>
  <c r="I15" i="85"/>
  <c r="Q11" i="86"/>
  <c r="Q10" i="86" s="1"/>
  <c r="Q16" i="86" s="1"/>
  <c r="G10" i="86"/>
  <c r="G16" i="86" s="1"/>
  <c r="G22" i="88"/>
  <c r="G90" i="88"/>
  <c r="K27" i="79"/>
  <c r="K15" i="79"/>
  <c r="G17" i="79"/>
  <c r="O17" i="79"/>
  <c r="G25" i="80"/>
  <c r="E25" i="80"/>
  <c r="N26" i="80"/>
  <c r="N34" i="80"/>
  <c r="N35" i="80" s="1"/>
  <c r="K25" i="81"/>
  <c r="Q23" i="81"/>
  <c r="I25" i="81"/>
  <c r="O22" i="82"/>
  <c r="O91" i="82"/>
  <c r="O21" i="83"/>
  <c r="O86" i="83" s="1"/>
  <c r="Q25" i="85"/>
  <c r="J17" i="79"/>
  <c r="Q22" i="79"/>
  <c r="L27" i="79"/>
  <c r="J25" i="80"/>
  <c r="J15" i="80"/>
  <c r="K17" i="80"/>
  <c r="K25" i="80" s="1"/>
  <c r="Q20" i="80"/>
  <c r="M25" i="80"/>
  <c r="M91" i="82"/>
  <c r="O15" i="84"/>
  <c r="O47" i="84"/>
  <c r="E15" i="84"/>
  <c r="E47" i="84"/>
  <c r="F33" i="86"/>
  <c r="F17" i="86"/>
  <c r="Q28" i="87"/>
  <c r="E17" i="87"/>
  <c r="Q20" i="79"/>
  <c r="Q17" i="79" s="1"/>
  <c r="O25" i="80"/>
  <c r="Q18" i="80"/>
  <c r="H25" i="81"/>
  <c r="Q25" i="81"/>
  <c r="H15" i="81"/>
  <c r="Q18" i="81"/>
  <c r="Q17" i="81" s="1"/>
  <c r="I19" i="83"/>
  <c r="I86" i="83"/>
  <c r="F14" i="85"/>
  <c r="N14" i="85"/>
  <c r="G25" i="85"/>
  <c r="G15" i="85"/>
  <c r="O22" i="88"/>
  <c r="O90" i="88"/>
  <c r="K91" i="88"/>
  <c r="K95" i="88"/>
  <c r="E25" i="81"/>
  <c r="K19" i="83"/>
  <c r="K86" i="83"/>
  <c r="Q32" i="83"/>
  <c r="Q45" i="83"/>
  <c r="Q60" i="83"/>
  <c r="K17" i="84"/>
  <c r="D25" i="81"/>
  <c r="O19" i="83"/>
  <c r="J14" i="84"/>
  <c r="L48" i="84"/>
  <c r="L52" i="84"/>
  <c r="G47" i="84"/>
  <c r="Q68" i="82"/>
  <c r="M19" i="83"/>
  <c r="Q66" i="83"/>
  <c r="J25" i="85"/>
  <c r="J33" i="86"/>
  <c r="J17" i="86"/>
  <c r="E15" i="87"/>
  <c r="E58" i="87"/>
  <c r="N89" i="89"/>
  <c r="N22" i="89"/>
  <c r="E25" i="95"/>
  <c r="E17" i="95"/>
  <c r="F22" i="82"/>
  <c r="F91" i="82"/>
  <c r="N22" i="82"/>
  <c r="N91" i="82"/>
  <c r="E86" i="83"/>
  <c r="E19" i="83"/>
  <c r="L86" i="83"/>
  <c r="Q64" i="83"/>
  <c r="Q81" i="83"/>
  <c r="D47" i="84"/>
  <c r="O25" i="85"/>
  <c r="O15" i="85"/>
  <c r="G15" i="87"/>
  <c r="G58" i="87"/>
  <c r="O15" i="87"/>
  <c r="O58" i="87"/>
  <c r="H58" i="87"/>
  <c r="M22" i="88"/>
  <c r="M90" i="88"/>
  <c r="D21" i="89"/>
  <c r="G15" i="80"/>
  <c r="O15" i="80"/>
  <c r="K15" i="81"/>
  <c r="H22" i="82"/>
  <c r="H91" i="82"/>
  <c r="Q14" i="82"/>
  <c r="I24" i="82"/>
  <c r="K24" i="82"/>
  <c r="K91" i="82" s="1"/>
  <c r="Q86" i="82"/>
  <c r="H86" i="83"/>
  <c r="H19" i="83"/>
  <c r="Q12" i="83"/>
  <c r="N86" i="83"/>
  <c r="Q77" i="83"/>
  <c r="H14" i="84"/>
  <c r="Q14" i="84"/>
  <c r="F47" i="84"/>
  <c r="Q45" i="84"/>
  <c r="D14" i="85"/>
  <c r="L14" i="85"/>
  <c r="M33" i="86"/>
  <c r="M17" i="86"/>
  <c r="Q52" i="82"/>
  <c r="Q57" i="82"/>
  <c r="Q81" i="82"/>
  <c r="Q84" i="82"/>
  <c r="D86" i="83"/>
  <c r="D19" i="83"/>
  <c r="Q54" i="83"/>
  <c r="I47" i="84"/>
  <c r="I15" i="84"/>
  <c r="K47" i="84"/>
  <c r="K15" i="84"/>
  <c r="E25" i="85"/>
  <c r="E15" i="85"/>
  <c r="M25" i="85"/>
  <c r="M15" i="85"/>
  <c r="I17" i="85"/>
  <c r="I25" i="85" s="1"/>
  <c r="E34" i="86"/>
  <c r="E38" i="86"/>
  <c r="I33" i="86"/>
  <c r="I17" i="86"/>
  <c r="K17" i="86"/>
  <c r="N33" i="86"/>
  <c r="N17" i="86"/>
  <c r="Q16" i="82"/>
  <c r="Q48" i="82"/>
  <c r="Q24" i="82" s="1"/>
  <c r="F86" i="83"/>
  <c r="Q14" i="83"/>
  <c r="Q22" i="83"/>
  <c r="E21" i="83"/>
  <c r="Q50" i="83"/>
  <c r="M21" i="83"/>
  <c r="M86" i="83" s="1"/>
  <c r="H25" i="85"/>
  <c r="M17" i="87"/>
  <c r="M58" i="87" s="1"/>
  <c r="J90" i="88"/>
  <c r="J22" i="88"/>
  <c r="L89" i="89"/>
  <c r="L22" i="89"/>
  <c r="L21" i="82"/>
  <c r="Q46" i="82"/>
  <c r="N47" i="84"/>
  <c r="Q40" i="84"/>
  <c r="D33" i="86"/>
  <c r="D17" i="86"/>
  <c r="Q11" i="83"/>
  <c r="Q10" i="83" s="1"/>
  <c r="Q18" i="85"/>
  <c r="Q17" i="85" s="1"/>
  <c r="Q26" i="86"/>
  <c r="H21" i="88"/>
  <c r="D22" i="88"/>
  <c r="D90" i="88"/>
  <c r="Q47" i="88"/>
  <c r="Q63" i="88"/>
  <c r="E90" i="88"/>
  <c r="K89" i="89"/>
  <c r="H16" i="86"/>
  <c r="K19" i="86"/>
  <c r="K33" i="86" s="1"/>
  <c r="Q22" i="86"/>
  <c r="M15" i="87"/>
  <c r="Q17" i="87"/>
  <c r="Q59" i="88"/>
  <c r="G22" i="89"/>
  <c r="O22" i="89"/>
  <c r="Q13" i="89"/>
  <c r="Q36" i="89"/>
  <c r="D24" i="89"/>
  <c r="I15" i="91"/>
  <c r="I21" i="91"/>
  <c r="D21" i="91"/>
  <c r="D15" i="91"/>
  <c r="L21" i="91"/>
  <c r="L15" i="91"/>
  <c r="K22" i="91"/>
  <c r="K26" i="91"/>
  <c r="Q20" i="86"/>
  <c r="J14" i="87"/>
  <c r="L22" i="88"/>
  <c r="L90" i="88"/>
  <c r="I24" i="88"/>
  <c r="Q57" i="88"/>
  <c r="Q85" i="88"/>
  <c r="H22" i="89"/>
  <c r="H89" i="89"/>
  <c r="Q12" i="89"/>
  <c r="L22" i="90"/>
  <c r="G72" i="92"/>
  <c r="G16" i="92"/>
  <c r="D16" i="92"/>
  <c r="D72" i="92"/>
  <c r="J73" i="92"/>
  <c r="J77" i="92"/>
  <c r="D21" i="83"/>
  <c r="F15" i="87"/>
  <c r="F58" i="87"/>
  <c r="N15" i="87"/>
  <c r="N58" i="87"/>
  <c r="Q58" i="87"/>
  <c r="Q55" i="88"/>
  <c r="Q83" i="88"/>
  <c r="Q11" i="89"/>
  <c r="Q25" i="89"/>
  <c r="D90" i="90"/>
  <c r="D22" i="90"/>
  <c r="O91" i="90"/>
  <c r="O95" i="90"/>
  <c r="O22" i="90"/>
  <c r="D15" i="84"/>
  <c r="L15" i="84"/>
  <c r="H15" i="85"/>
  <c r="Q15" i="85"/>
  <c r="D14" i="87"/>
  <c r="L14" i="87"/>
  <c r="K58" i="87"/>
  <c r="N22" i="88"/>
  <c r="N90" i="88"/>
  <c r="I10" i="88"/>
  <c r="I21" i="88" s="1"/>
  <c r="Q14" i="88"/>
  <c r="Q53" i="88"/>
  <c r="J22" i="89"/>
  <c r="E22" i="89"/>
  <c r="E24" i="89"/>
  <c r="E89" i="89" s="1"/>
  <c r="L34" i="86"/>
  <c r="L38" i="86"/>
  <c r="I17" i="87"/>
  <c r="I58" i="87" s="1"/>
  <c r="Q45" i="87"/>
  <c r="F22" i="88"/>
  <c r="F90" i="88"/>
  <c r="Q13" i="88"/>
  <c r="Q25" i="88"/>
  <c r="Q51" i="88"/>
  <c r="F89" i="89"/>
  <c r="H90" i="90"/>
  <c r="H22" i="90"/>
  <c r="G26" i="91"/>
  <c r="O24" i="89"/>
  <c r="O89" i="89" s="1"/>
  <c r="Q47" i="89"/>
  <c r="Q63" i="89"/>
  <c r="G21" i="90"/>
  <c r="Q12" i="90"/>
  <c r="Q10" i="90" s="1"/>
  <c r="Q21" i="90" s="1"/>
  <c r="H21" i="91"/>
  <c r="H15" i="91"/>
  <c r="O26" i="91"/>
  <c r="Q52" i="92"/>
  <c r="Q11" i="88"/>
  <c r="Q10" i="88" s="1"/>
  <c r="Q21" i="88" s="1"/>
  <c r="Q82" i="89"/>
  <c r="J90" i="90"/>
  <c r="J22" i="90"/>
  <c r="E22" i="90"/>
  <c r="E90" i="90"/>
  <c r="N22" i="91"/>
  <c r="N26" i="91"/>
  <c r="M16" i="92"/>
  <c r="M72" i="92"/>
  <c r="H72" i="92"/>
  <c r="H16" i="92"/>
  <c r="G24" i="89"/>
  <c r="G89" i="89" s="1"/>
  <c r="K90" i="90"/>
  <c r="K22" i="90"/>
  <c r="F10" i="90"/>
  <c r="F21" i="90" s="1"/>
  <c r="J22" i="91"/>
  <c r="J26" i="91"/>
  <c r="N72" i="92"/>
  <c r="N16" i="92"/>
  <c r="Q41" i="92"/>
  <c r="Q55" i="89"/>
  <c r="Q47" i="90"/>
  <c r="Q15" i="91"/>
  <c r="E16" i="92"/>
  <c r="E72" i="92"/>
  <c r="L16" i="92"/>
  <c r="M21" i="89"/>
  <c r="M22" i="90"/>
  <c r="M90" i="90"/>
  <c r="E14" i="91"/>
  <c r="M14" i="91"/>
  <c r="Q19" i="91"/>
  <c r="Q21" i="91" s="1"/>
  <c r="F72" i="92"/>
  <c r="F16" i="92"/>
  <c r="O72" i="92"/>
  <c r="Q19" i="92"/>
  <c r="D18" i="92"/>
  <c r="L18" i="92"/>
  <c r="L72" i="92" s="1"/>
  <c r="Q16" i="89"/>
  <c r="J24" i="89"/>
  <c r="J89" i="89" s="1"/>
  <c r="Q51" i="89"/>
  <c r="I10" i="90"/>
  <c r="I21" i="90" s="1"/>
  <c r="Q14" i="90"/>
  <c r="Q25" i="90"/>
  <c r="D24" i="90"/>
  <c r="L24" i="90"/>
  <c r="L90" i="90" s="1"/>
  <c r="N90" i="90"/>
  <c r="F21" i="91"/>
  <c r="I15" i="92"/>
  <c r="Q11" i="92"/>
  <c r="Q10" i="92" s="1"/>
  <c r="Q15" i="92" s="1"/>
  <c r="Q56" i="92"/>
  <c r="E25" i="93"/>
  <c r="K72" i="92"/>
  <c r="G15" i="91"/>
  <c r="O15" i="91"/>
  <c r="D25" i="95" l="1"/>
  <c r="D26" i="95" s="1"/>
  <c r="D17" i="34"/>
  <c r="D25" i="32"/>
  <c r="D26" i="32" s="1"/>
  <c r="D25" i="38"/>
  <c r="E25" i="40"/>
  <c r="E25" i="5"/>
  <c r="E17" i="94"/>
  <c r="E30" i="94"/>
  <c r="G25" i="52"/>
  <c r="G26" i="52" s="1"/>
  <c r="E17" i="37"/>
  <c r="E17" i="53"/>
  <c r="G17" i="44"/>
  <c r="G17" i="94"/>
  <c r="G25" i="20"/>
  <c r="G30" i="20" s="1"/>
  <c r="D17" i="46"/>
  <c r="E25" i="34"/>
  <c r="E30" i="26"/>
  <c r="E25" i="22"/>
  <c r="G25" i="13"/>
  <c r="G30" i="13" s="1"/>
  <c r="G25" i="47"/>
  <c r="G26" i="47" s="1"/>
  <c r="D25" i="50"/>
  <c r="D26" i="50" s="1"/>
  <c r="E17" i="49"/>
  <c r="D17" i="25"/>
  <c r="E25" i="7"/>
  <c r="E17" i="14"/>
  <c r="G25" i="53"/>
  <c r="G30" i="53" s="1"/>
  <c r="E17" i="47"/>
  <c r="E17" i="38"/>
  <c r="G17" i="35"/>
  <c r="G17" i="95"/>
  <c r="D25" i="53"/>
  <c r="D26" i="53" s="1"/>
  <c r="G25" i="43"/>
  <c r="G30" i="43" s="1"/>
  <c r="D25" i="16"/>
  <c r="D26" i="16" s="1"/>
  <c r="D25" i="44"/>
  <c r="D26" i="44" s="1"/>
  <c r="E17" i="43"/>
  <c r="G25" i="10"/>
  <c r="G26" i="10" s="1"/>
  <c r="D17" i="40"/>
  <c r="G25" i="17"/>
  <c r="G30" i="17" s="1"/>
  <c r="G31" i="17" s="1"/>
  <c r="G36" i="17" s="1"/>
  <c r="G37" i="17" s="1"/>
  <c r="D17" i="49"/>
  <c r="G30" i="44"/>
  <c r="G26" i="44"/>
  <c r="G17" i="23"/>
  <c r="D17" i="11"/>
  <c r="D25" i="43"/>
  <c r="D26" i="43" s="1"/>
  <c r="E25" i="13"/>
  <c r="E26" i="13" s="1"/>
  <c r="G26" i="4"/>
  <c r="D25" i="7"/>
  <c r="D26" i="7" s="1"/>
  <c r="E17" i="11"/>
  <c r="G17" i="4"/>
  <c r="D17" i="17"/>
  <c r="G25" i="8"/>
  <c r="G30" i="8" s="1"/>
  <c r="G30" i="35"/>
  <c r="G31" i="35" s="1"/>
  <c r="G36" i="35" s="1"/>
  <c r="G37" i="35" s="1"/>
  <c r="D25" i="13"/>
  <c r="G25" i="41"/>
  <c r="G30" i="41" s="1"/>
  <c r="G17" i="49"/>
  <c r="G25" i="34"/>
  <c r="G26" i="34" s="1"/>
  <c r="G25" i="26"/>
  <c r="G26" i="26" s="1"/>
  <c r="E25" i="17"/>
  <c r="E26" i="17" s="1"/>
  <c r="E26" i="11"/>
  <c r="E30" i="11"/>
  <c r="E31" i="11" s="1"/>
  <c r="E36" i="11" s="1"/>
  <c r="E37" i="11" s="1"/>
  <c r="E25" i="10"/>
  <c r="E30" i="10" s="1"/>
  <c r="D17" i="93"/>
  <c r="D17" i="52"/>
  <c r="D25" i="41"/>
  <c r="D26" i="41" s="1"/>
  <c r="E25" i="20"/>
  <c r="E26" i="20" s="1"/>
  <c r="G25" i="29"/>
  <c r="G17" i="5"/>
  <c r="G25" i="22"/>
  <c r="G30" i="22" s="1"/>
  <c r="D25" i="14"/>
  <c r="D26" i="14" s="1"/>
  <c r="E17" i="26"/>
  <c r="E25" i="31"/>
  <c r="E26" i="31" s="1"/>
  <c r="D25" i="20"/>
  <c r="D26" i="20" s="1"/>
  <c r="D17" i="5"/>
  <c r="G25" i="25"/>
  <c r="D17" i="35"/>
  <c r="G25" i="40"/>
  <c r="G26" i="40" s="1"/>
  <c r="G25" i="7"/>
  <c r="G30" i="7" s="1"/>
  <c r="E17" i="44"/>
  <c r="E25" i="4"/>
  <c r="E30" i="4" s="1"/>
  <c r="G17" i="14"/>
  <c r="E26" i="44"/>
  <c r="G17" i="19"/>
  <c r="G17" i="11"/>
  <c r="G25" i="46"/>
  <c r="G30" i="46" s="1"/>
  <c r="G17" i="37"/>
  <c r="E25" i="19"/>
  <c r="E30" i="19" s="1"/>
  <c r="E25" i="41"/>
  <c r="E30" i="41" s="1"/>
  <c r="E31" i="41" s="1"/>
  <c r="E36" i="41" s="1"/>
  <c r="E37" i="41" s="1"/>
  <c r="E25" i="25"/>
  <c r="E30" i="25" s="1"/>
  <c r="E25" i="16"/>
  <c r="E26" i="16" s="1"/>
  <c r="D25" i="4"/>
  <c r="D30" i="4" s="1"/>
  <c r="D25" i="10"/>
  <c r="D30" i="10" s="1"/>
  <c r="D25" i="22"/>
  <c r="G25" i="38"/>
  <c r="G30" i="38" s="1"/>
  <c r="G25" i="28"/>
  <c r="G17" i="50"/>
  <c r="G25" i="50"/>
  <c r="D25" i="26"/>
  <c r="D26" i="26" s="1"/>
  <c r="G25" i="16"/>
  <c r="G26" i="16" s="1"/>
  <c r="D17" i="8"/>
  <c r="E17" i="8"/>
  <c r="D17" i="94"/>
  <c r="D25" i="94"/>
  <c r="E17" i="52"/>
  <c r="D17" i="29"/>
  <c r="E25" i="35"/>
  <c r="E26" i="35" s="1"/>
  <c r="G17" i="32"/>
  <c r="G26" i="14"/>
  <c r="G30" i="14"/>
  <c r="E17" i="28"/>
  <c r="E17" i="23"/>
  <c r="D17" i="23"/>
  <c r="D25" i="31"/>
  <c r="D17" i="31"/>
  <c r="G17" i="93"/>
  <c r="G25" i="93"/>
  <c r="I59" i="87"/>
  <c r="I63" i="87"/>
  <c r="I93" i="74"/>
  <c r="I89" i="74"/>
  <c r="Q24" i="71"/>
  <c r="Q28" i="71"/>
  <c r="J80" i="69"/>
  <c r="J76" i="69"/>
  <c r="K77" i="68"/>
  <c r="K73" i="68"/>
  <c r="N111" i="67"/>
  <c r="N107" i="67"/>
  <c r="J67" i="57"/>
  <c r="J71" i="57"/>
  <c r="O64" i="59"/>
  <c r="O68" i="59"/>
  <c r="Q77" i="48"/>
  <c r="Q73" i="48"/>
  <c r="G73" i="33"/>
  <c r="G77" i="33"/>
  <c r="D151" i="18"/>
  <c r="D155" i="18"/>
  <c r="K72" i="70"/>
  <c r="K76" i="70"/>
  <c r="D58" i="60"/>
  <c r="D62" i="60"/>
  <c r="F111" i="67"/>
  <c r="F107" i="67"/>
  <c r="Q99" i="62"/>
  <c r="Q103" i="62"/>
  <c r="I73" i="56"/>
  <c r="I77" i="56"/>
  <c r="Q28" i="66"/>
  <c r="Q32" i="66"/>
  <c r="K53" i="61"/>
  <c r="K57" i="61"/>
  <c r="K77" i="56"/>
  <c r="K73" i="56"/>
  <c r="Q83" i="24"/>
  <c r="Q87" i="24"/>
  <c r="Q91" i="21"/>
  <c r="Q95" i="21"/>
  <c r="L77" i="92"/>
  <c r="L73" i="92"/>
  <c r="Q22" i="90"/>
  <c r="K92" i="82"/>
  <c r="K96" i="82"/>
  <c r="L107" i="67"/>
  <c r="L111" i="67"/>
  <c r="E31" i="55"/>
  <c r="E35" i="55"/>
  <c r="K67" i="57"/>
  <c r="K71" i="57"/>
  <c r="Q26" i="54"/>
  <c r="Q22" i="54"/>
  <c r="D87" i="24"/>
  <c r="D83" i="24"/>
  <c r="G114" i="39"/>
  <c r="G110" i="39"/>
  <c r="L78" i="58"/>
  <c r="L74" i="58"/>
  <c r="Q73" i="56"/>
  <c r="Q77" i="56"/>
  <c r="O73" i="56"/>
  <c r="O77" i="56"/>
  <c r="G73" i="56"/>
  <c r="G77" i="56"/>
  <c r="N119" i="36"/>
  <c r="N115" i="36"/>
  <c r="E114" i="39"/>
  <c r="E110" i="39"/>
  <c r="Q114" i="36"/>
  <c r="Q24" i="36"/>
  <c r="I86" i="27"/>
  <c r="I90" i="27"/>
  <c r="E155" i="18"/>
  <c r="E151" i="18"/>
  <c r="J94" i="89"/>
  <c r="J90" i="89"/>
  <c r="I26" i="85"/>
  <c r="I30" i="85"/>
  <c r="K89" i="74"/>
  <c r="K93" i="74"/>
  <c r="N76" i="70"/>
  <c r="N72" i="70"/>
  <c r="D87" i="63"/>
  <c r="D83" i="63"/>
  <c r="K37" i="64"/>
  <c r="K41" i="64"/>
  <c r="D41" i="64"/>
  <c r="D37" i="64"/>
  <c r="H71" i="57"/>
  <c r="H67" i="57"/>
  <c r="D97" i="45"/>
  <c r="D101" i="45"/>
  <c r="J83" i="24"/>
  <c r="J87" i="24"/>
  <c r="Q55" i="18"/>
  <c r="Q150" i="18"/>
  <c r="D145" i="15"/>
  <c r="D149" i="15"/>
  <c r="M86" i="65"/>
  <c r="M90" i="65"/>
  <c r="J87" i="63"/>
  <c r="J83" i="63"/>
  <c r="O73" i="68"/>
  <c r="O77" i="68"/>
  <c r="E152" i="12"/>
  <c r="E156" i="12"/>
  <c r="E90" i="89"/>
  <c r="E94" i="89"/>
  <c r="M63" i="87"/>
  <c r="M59" i="87"/>
  <c r="L91" i="90"/>
  <c r="L95" i="90"/>
  <c r="Q22" i="91"/>
  <c r="Q26" i="91"/>
  <c r="O90" i="89"/>
  <c r="O94" i="89"/>
  <c r="K34" i="86"/>
  <c r="K38" i="86"/>
  <c r="M91" i="83"/>
  <c r="M87" i="83"/>
  <c r="K91" i="76"/>
  <c r="K95" i="76"/>
  <c r="F76" i="70"/>
  <c r="F72" i="70"/>
  <c r="O87" i="83"/>
  <c r="O91" i="83"/>
  <c r="L91" i="76"/>
  <c r="L95" i="76"/>
  <c r="L78" i="78"/>
  <c r="L74" i="78"/>
  <c r="K89" i="73"/>
  <c r="K85" i="73"/>
  <c r="I83" i="63"/>
  <c r="I87" i="63"/>
  <c r="G73" i="68"/>
  <c r="G77" i="68"/>
  <c r="D67" i="57"/>
  <c r="D71" i="57"/>
  <c r="D103" i="62"/>
  <c r="D99" i="62"/>
  <c r="O103" i="62"/>
  <c r="O99" i="62"/>
  <c r="L67" i="57"/>
  <c r="L71" i="57"/>
  <c r="Q35" i="55"/>
  <c r="Q31" i="55"/>
  <c r="M68" i="59"/>
  <c r="M64" i="59"/>
  <c r="N77" i="48"/>
  <c r="N73" i="48"/>
  <c r="D111" i="42"/>
  <c r="D107" i="42"/>
  <c r="G90" i="89"/>
  <c r="G94" i="89"/>
  <c r="K30" i="80"/>
  <c r="K26" i="80"/>
  <c r="D77" i="56"/>
  <c r="D73" i="56"/>
  <c r="M77" i="68"/>
  <c r="M73" i="68"/>
  <c r="E103" i="62"/>
  <c r="E99" i="62"/>
  <c r="E68" i="59"/>
  <c r="E64" i="59"/>
  <c r="F77" i="48"/>
  <c r="F73" i="48"/>
  <c r="G107" i="42"/>
  <c r="G111" i="42"/>
  <c r="F118" i="30"/>
  <c r="F122" i="30"/>
  <c r="H98" i="9"/>
  <c r="H95" i="9"/>
  <c r="Q22" i="88"/>
  <c r="G96" i="82"/>
  <c r="G92" i="82"/>
  <c r="G24" i="77"/>
  <c r="G28" i="77"/>
  <c r="F22" i="91"/>
  <c r="F26" i="91"/>
  <c r="J91" i="90"/>
  <c r="J95" i="90"/>
  <c r="D77" i="92"/>
  <c r="D73" i="92"/>
  <c r="D91" i="83"/>
  <c r="D87" i="83"/>
  <c r="D25" i="85"/>
  <c r="D15" i="85"/>
  <c r="L91" i="83"/>
  <c r="L87" i="83"/>
  <c r="E63" i="87"/>
  <c r="E59" i="87"/>
  <c r="M92" i="82"/>
  <c r="M96" i="82"/>
  <c r="G95" i="88"/>
  <c r="G91" i="88"/>
  <c r="O38" i="86"/>
  <c r="O34" i="86"/>
  <c r="L29" i="77"/>
  <c r="L32" i="77" s="1"/>
  <c r="L33" i="77" s="1"/>
  <c r="M28" i="79"/>
  <c r="M32" i="79"/>
  <c r="F74" i="78"/>
  <c r="F78" i="78"/>
  <c r="M48" i="84"/>
  <c r="M52" i="84"/>
  <c r="G32" i="79"/>
  <c r="G28" i="79"/>
  <c r="F30" i="80"/>
  <c r="F26" i="80"/>
  <c r="J92" i="82"/>
  <c r="J96" i="82"/>
  <c r="J24" i="77"/>
  <c r="J28" i="77"/>
  <c r="K26" i="85"/>
  <c r="K30" i="85"/>
  <c r="H26" i="80"/>
  <c r="H30" i="80"/>
  <c r="J30" i="75"/>
  <c r="J34" i="75"/>
  <c r="O24" i="77"/>
  <c r="O28" i="77"/>
  <c r="I85" i="73"/>
  <c r="I89" i="73"/>
  <c r="I95" i="76"/>
  <c r="I91" i="76"/>
  <c r="L38" i="75"/>
  <c r="L39" i="75" s="1"/>
  <c r="L35" i="75"/>
  <c r="H85" i="73"/>
  <c r="H89" i="73"/>
  <c r="N29" i="75"/>
  <c r="N21" i="75"/>
  <c r="M24" i="71"/>
  <c r="M28" i="71"/>
  <c r="O97" i="74"/>
  <c r="O98" i="74" s="1"/>
  <c r="O94" i="74"/>
  <c r="G34" i="75"/>
  <c r="G30" i="75"/>
  <c r="D30" i="72"/>
  <c r="D33" i="72" s="1"/>
  <c r="D34" i="72" s="1"/>
  <c r="H29" i="71"/>
  <c r="H32" i="71" s="1"/>
  <c r="H33" i="71" s="1"/>
  <c r="E86" i="65"/>
  <c r="E90" i="65"/>
  <c r="I75" i="69"/>
  <c r="I30" i="69"/>
  <c r="J25" i="72"/>
  <c r="J29" i="72"/>
  <c r="J37" i="64"/>
  <c r="J41" i="64"/>
  <c r="K28" i="71"/>
  <c r="K24" i="71"/>
  <c r="Q75" i="69"/>
  <c r="Q30" i="69"/>
  <c r="O72" i="70"/>
  <c r="O76" i="70"/>
  <c r="L91" i="65"/>
  <c r="L94" i="65" s="1"/>
  <c r="L95" i="65" s="1"/>
  <c r="E77" i="68"/>
  <c r="E73" i="68"/>
  <c r="N74" i="58"/>
  <c r="N78" i="58"/>
  <c r="Q32" i="69"/>
  <c r="I99" i="62"/>
  <c r="I103" i="62"/>
  <c r="Q15" i="59"/>
  <c r="O74" i="58"/>
  <c r="O78" i="58"/>
  <c r="G103" i="62"/>
  <c r="G99" i="62"/>
  <c r="Q17" i="57"/>
  <c r="Q66" i="57" s="1"/>
  <c r="D30" i="53"/>
  <c r="I35" i="55"/>
  <c r="I31" i="55"/>
  <c r="F80" i="51"/>
  <c r="F76" i="51"/>
  <c r="H37" i="64"/>
  <c r="H41" i="64"/>
  <c r="D68" i="59"/>
  <c r="D64" i="59"/>
  <c r="J77" i="56"/>
  <c r="J73" i="56"/>
  <c r="G80" i="51"/>
  <c r="G76" i="51"/>
  <c r="K97" i="45"/>
  <c r="K101" i="45"/>
  <c r="N27" i="54"/>
  <c r="N32" i="54"/>
  <c r="N33" i="54" s="1"/>
  <c r="E30" i="50"/>
  <c r="E26" i="50"/>
  <c r="Q22" i="68"/>
  <c r="F23" i="42"/>
  <c r="F106" i="42"/>
  <c r="E78" i="48"/>
  <c r="E81" i="48" s="1"/>
  <c r="E82" i="48" s="1"/>
  <c r="Q30" i="51"/>
  <c r="J106" i="42"/>
  <c r="J23" i="42"/>
  <c r="M81" i="51"/>
  <c r="M84" i="51" s="1"/>
  <c r="M85" i="51" s="1"/>
  <c r="G31" i="44"/>
  <c r="G36" i="44" s="1"/>
  <c r="G37" i="44" s="1"/>
  <c r="N23" i="42"/>
  <c r="N106" i="42"/>
  <c r="G74" i="58"/>
  <c r="G78" i="58"/>
  <c r="D30" i="49"/>
  <c r="D26" i="49"/>
  <c r="F24" i="36"/>
  <c r="F114" i="36"/>
  <c r="D26" i="29"/>
  <c r="D30" i="29"/>
  <c r="D30" i="28"/>
  <c r="D26" i="28"/>
  <c r="Q23" i="42"/>
  <c r="H73" i="33"/>
  <c r="H77" i="33"/>
  <c r="J86" i="27"/>
  <c r="J90" i="27"/>
  <c r="K26" i="54"/>
  <c r="K22" i="54"/>
  <c r="I24" i="39"/>
  <c r="I109" i="39"/>
  <c r="M77" i="33"/>
  <c r="M73" i="33"/>
  <c r="H91" i="27"/>
  <c r="H94" i="27" s="1"/>
  <c r="H95" i="27" s="1"/>
  <c r="E31" i="44"/>
  <c r="E36" i="44" s="1"/>
  <c r="E37" i="44" s="1"/>
  <c r="G86" i="27"/>
  <c r="G90" i="27"/>
  <c r="N145" i="15"/>
  <c r="N149" i="15"/>
  <c r="E30" i="23"/>
  <c r="E26" i="23"/>
  <c r="M87" i="24"/>
  <c r="M83" i="24"/>
  <c r="I81" i="33"/>
  <c r="I82" i="33" s="1"/>
  <c r="I78" i="33"/>
  <c r="K156" i="12"/>
  <c r="K152" i="12"/>
  <c r="M90" i="27"/>
  <c r="M86" i="27"/>
  <c r="K99" i="21"/>
  <c r="K100" i="21" s="1"/>
  <c r="K96" i="21"/>
  <c r="O151" i="12"/>
  <c r="O53" i="12"/>
  <c r="E167" i="3"/>
  <c r="E171" i="3"/>
  <c r="L95" i="9"/>
  <c r="L98" i="9"/>
  <c r="Q25" i="6"/>
  <c r="Q22" i="6"/>
  <c r="G95" i="9"/>
  <c r="G98" i="9"/>
  <c r="M26" i="6"/>
  <c r="M31" i="6"/>
  <c r="M32" i="6" s="1"/>
  <c r="G33" i="86"/>
  <c r="G17" i="86"/>
  <c r="N73" i="92"/>
  <c r="N77" i="92"/>
  <c r="H73" i="92"/>
  <c r="H77" i="92"/>
  <c r="H95" i="90"/>
  <c r="H91" i="90"/>
  <c r="Q59" i="87"/>
  <c r="Q63" i="87"/>
  <c r="K30" i="91"/>
  <c r="K31" i="91" s="1"/>
  <c r="K27" i="91"/>
  <c r="N91" i="90"/>
  <c r="N95" i="90"/>
  <c r="F73" i="92"/>
  <c r="F77" i="92"/>
  <c r="G26" i="94"/>
  <c r="G30" i="94"/>
  <c r="J30" i="91"/>
  <c r="J31" i="91" s="1"/>
  <c r="J27" i="91"/>
  <c r="M77" i="92"/>
  <c r="M73" i="92"/>
  <c r="G90" i="90"/>
  <c r="G22" i="90"/>
  <c r="F94" i="89"/>
  <c r="F90" i="89"/>
  <c r="L42" i="86"/>
  <c r="L43" i="86" s="1"/>
  <c r="L39" i="86"/>
  <c r="N63" i="87"/>
  <c r="N59" i="87"/>
  <c r="D34" i="86"/>
  <c r="D38" i="86"/>
  <c r="J91" i="88"/>
  <c r="J95" i="88"/>
  <c r="F87" i="83"/>
  <c r="F91" i="83"/>
  <c r="E30" i="85"/>
  <c r="E26" i="85"/>
  <c r="H87" i="83"/>
  <c r="H91" i="83"/>
  <c r="G59" i="87"/>
  <c r="G63" i="87"/>
  <c r="E26" i="95"/>
  <c r="E30" i="95"/>
  <c r="G48" i="84"/>
  <c r="G52" i="84"/>
  <c r="O95" i="88"/>
  <c r="O91" i="88"/>
  <c r="M26" i="80"/>
  <c r="M30" i="80"/>
  <c r="Q26" i="85"/>
  <c r="Q30" i="85"/>
  <c r="G87" i="83"/>
  <c r="G91" i="83"/>
  <c r="O32" i="79"/>
  <c r="O28" i="79"/>
  <c r="E36" i="79"/>
  <c r="E37" i="79" s="1"/>
  <c r="E33" i="79"/>
  <c r="O30" i="81"/>
  <c r="O26" i="81"/>
  <c r="Q24" i="77"/>
  <c r="Q28" i="77"/>
  <c r="M26" i="81"/>
  <c r="M30" i="81"/>
  <c r="L34" i="81"/>
  <c r="L35" i="81" s="1"/>
  <c r="L31" i="81"/>
  <c r="L26" i="80"/>
  <c r="L30" i="80"/>
  <c r="K30" i="75"/>
  <c r="K34" i="75"/>
  <c r="L89" i="73"/>
  <c r="L85" i="73"/>
  <c r="H74" i="78"/>
  <c r="H78" i="78"/>
  <c r="F29" i="75"/>
  <c r="F21" i="75"/>
  <c r="O25" i="72"/>
  <c r="O29" i="72"/>
  <c r="L33" i="72"/>
  <c r="L34" i="72" s="1"/>
  <c r="L30" i="72"/>
  <c r="Q10" i="70"/>
  <c r="Q18" i="70" s="1"/>
  <c r="G24" i="71"/>
  <c r="G28" i="71"/>
  <c r="D80" i="69"/>
  <c r="D76" i="69"/>
  <c r="Q30" i="65"/>
  <c r="Q85" i="65"/>
  <c r="O111" i="67"/>
  <c r="O107" i="67"/>
  <c r="Q32" i="65"/>
  <c r="M76" i="70"/>
  <c r="M72" i="70"/>
  <c r="O28" i="66"/>
  <c r="O32" i="66"/>
  <c r="I37" i="64"/>
  <c r="I41" i="64"/>
  <c r="J99" i="62"/>
  <c r="J103" i="62"/>
  <c r="Q17" i="64"/>
  <c r="Q36" i="64" s="1"/>
  <c r="O57" i="61"/>
  <c r="O53" i="61"/>
  <c r="Q17" i="58"/>
  <c r="Q73" i="58" s="1"/>
  <c r="O24" i="71"/>
  <c r="O28" i="71"/>
  <c r="H104" i="62"/>
  <c r="H107" i="62" s="1"/>
  <c r="H108" i="62" s="1"/>
  <c r="H63" i="59"/>
  <c r="H15" i="59"/>
  <c r="J32" i="66"/>
  <c r="J28" i="66"/>
  <c r="G41" i="64"/>
  <c r="G37" i="64"/>
  <c r="L84" i="51"/>
  <c r="L85" i="51" s="1"/>
  <c r="L81" i="51"/>
  <c r="N94" i="65"/>
  <c r="N95" i="65" s="1"/>
  <c r="N91" i="65"/>
  <c r="E30" i="47"/>
  <c r="E26" i="47"/>
  <c r="F73" i="68"/>
  <c r="F77" i="68"/>
  <c r="L73" i="56"/>
  <c r="L77" i="56"/>
  <c r="D72" i="68"/>
  <c r="D22" i="68"/>
  <c r="N73" i="56"/>
  <c r="N77" i="56"/>
  <c r="I30" i="51"/>
  <c r="I75" i="51"/>
  <c r="K72" i="59"/>
  <c r="K73" i="59" s="1"/>
  <c r="K69" i="59"/>
  <c r="N57" i="61"/>
  <c r="N53" i="61"/>
  <c r="G67" i="57"/>
  <c r="G71" i="57"/>
  <c r="I36" i="66"/>
  <c r="I37" i="66" s="1"/>
  <c r="I33" i="66"/>
  <c r="I71" i="57"/>
  <c r="I67" i="57"/>
  <c r="M31" i="55"/>
  <c r="M35" i="55"/>
  <c r="H107" i="42"/>
  <c r="H111" i="42"/>
  <c r="D30" i="38"/>
  <c r="D26" i="38"/>
  <c r="K107" i="42"/>
  <c r="K111" i="42"/>
  <c r="H114" i="36"/>
  <c r="H24" i="36"/>
  <c r="N30" i="27"/>
  <c r="N85" i="27"/>
  <c r="G31" i="41"/>
  <c r="G36" i="41" s="1"/>
  <c r="G37" i="41" s="1"/>
  <c r="D30" i="35"/>
  <c r="D26" i="35"/>
  <c r="G25" i="31"/>
  <c r="G17" i="31"/>
  <c r="D30" i="37"/>
  <c r="D26" i="37"/>
  <c r="L114" i="39"/>
  <c r="L110" i="39"/>
  <c r="H39" i="30"/>
  <c r="H117" i="30"/>
  <c r="G26" i="20"/>
  <c r="H49" i="15"/>
  <c r="H144" i="15"/>
  <c r="E91" i="21"/>
  <c r="E95" i="21"/>
  <c r="D91" i="21"/>
  <c r="D95" i="21"/>
  <c r="F155" i="18"/>
  <c r="F151" i="18"/>
  <c r="Q10" i="15"/>
  <c r="Q48" i="15" s="1"/>
  <c r="F151" i="12"/>
  <c r="F53" i="12"/>
  <c r="I83" i="24"/>
  <c r="I87" i="24"/>
  <c r="J91" i="21"/>
  <c r="J95" i="21"/>
  <c r="F83" i="24"/>
  <c r="F87" i="24"/>
  <c r="O145" i="15"/>
  <c r="O149" i="15"/>
  <c r="E26" i="14"/>
  <c r="E30" i="14"/>
  <c r="M167" i="3"/>
  <c r="M171" i="3"/>
  <c r="I98" i="9"/>
  <c r="I95" i="9"/>
  <c r="G22" i="6"/>
  <c r="G25" i="6"/>
  <c r="J171" i="3"/>
  <c r="J167" i="3"/>
  <c r="I71" i="70"/>
  <c r="I19" i="70"/>
  <c r="G23" i="74"/>
  <c r="G88" i="74"/>
  <c r="E24" i="71"/>
  <c r="E28" i="71"/>
  <c r="J74" i="78"/>
  <c r="J78" i="78"/>
  <c r="H71" i="70"/>
  <c r="H19" i="70"/>
  <c r="N85" i="73"/>
  <c r="N89" i="73"/>
  <c r="F15" i="71"/>
  <c r="F23" i="71"/>
  <c r="I106" i="67"/>
  <c r="I39" i="67"/>
  <c r="G90" i="65"/>
  <c r="G86" i="65"/>
  <c r="M97" i="74"/>
  <c r="M98" i="74" s="1"/>
  <c r="M94" i="74"/>
  <c r="N76" i="69"/>
  <c r="N80" i="69"/>
  <c r="G28" i="66"/>
  <c r="G32" i="66"/>
  <c r="O90" i="65"/>
  <c r="O86" i="65"/>
  <c r="G19" i="70"/>
  <c r="G71" i="70"/>
  <c r="M27" i="66"/>
  <c r="M15" i="66"/>
  <c r="H53" i="61"/>
  <c r="H57" i="61"/>
  <c r="L80" i="69"/>
  <c r="L76" i="69"/>
  <c r="D107" i="67"/>
  <c r="D111" i="67"/>
  <c r="F83" i="63"/>
  <c r="F87" i="63"/>
  <c r="J76" i="70"/>
  <c r="J72" i="70"/>
  <c r="N103" i="62"/>
  <c r="N99" i="62"/>
  <c r="F76" i="69"/>
  <c r="F80" i="69"/>
  <c r="J53" i="61"/>
  <c r="J57" i="61"/>
  <c r="F78" i="58"/>
  <c r="F74" i="58"/>
  <c r="H73" i="56"/>
  <c r="H77" i="56"/>
  <c r="H90" i="65"/>
  <c r="H86" i="65"/>
  <c r="J30" i="55"/>
  <c r="J15" i="55"/>
  <c r="E30" i="52"/>
  <c r="E26" i="52"/>
  <c r="M41" i="64"/>
  <c r="M37" i="64"/>
  <c r="I64" i="59"/>
  <c r="I68" i="59"/>
  <c r="I73" i="48"/>
  <c r="I77" i="48"/>
  <c r="L22" i="54"/>
  <c r="L26" i="54"/>
  <c r="H74" i="58"/>
  <c r="H78" i="58"/>
  <c r="N101" i="45"/>
  <c r="N97" i="45"/>
  <c r="I73" i="68"/>
  <c r="I77" i="68"/>
  <c r="O77" i="48"/>
  <c r="O73" i="48"/>
  <c r="O80" i="51"/>
  <c r="O76" i="51"/>
  <c r="H35" i="55"/>
  <c r="H31" i="55"/>
  <c r="D76" i="51"/>
  <c r="D80" i="51"/>
  <c r="D26" i="46"/>
  <c r="D30" i="46"/>
  <c r="O86" i="27"/>
  <c r="O90" i="27"/>
  <c r="N118" i="30"/>
  <c r="N122" i="30"/>
  <c r="M119" i="36"/>
  <c r="M115" i="36"/>
  <c r="D90" i="27"/>
  <c r="D86" i="27"/>
  <c r="Q25" i="42"/>
  <c r="Q106" i="42" s="1"/>
  <c r="N110" i="39"/>
  <c r="N114" i="39"/>
  <c r="D30" i="34"/>
  <c r="D26" i="34"/>
  <c r="D22" i="33"/>
  <c r="D72" i="33"/>
  <c r="I106" i="42"/>
  <c r="I23" i="42"/>
  <c r="G26" i="19"/>
  <c r="G30" i="19"/>
  <c r="M149" i="15"/>
  <c r="M145" i="15"/>
  <c r="F145" i="15"/>
  <c r="F149" i="15"/>
  <c r="I150" i="15"/>
  <c r="I153" i="15" s="1"/>
  <c r="I154" i="15" s="1"/>
  <c r="K149" i="15"/>
  <c r="K145" i="15"/>
  <c r="J152" i="12"/>
  <c r="J156" i="12"/>
  <c r="Q10" i="12"/>
  <c r="Q52" i="12" s="1"/>
  <c r="G95" i="21"/>
  <c r="G91" i="21"/>
  <c r="D157" i="12"/>
  <c r="D160" i="12" s="1"/>
  <c r="D161" i="12" s="1"/>
  <c r="O95" i="9"/>
  <c r="O98" i="9"/>
  <c r="E26" i="6"/>
  <c r="E31" i="6"/>
  <c r="E32" i="6" s="1"/>
  <c r="J98" i="9"/>
  <c r="J95" i="9"/>
  <c r="H25" i="6"/>
  <c r="H22" i="6"/>
  <c r="D26" i="8"/>
  <c r="D30" i="8"/>
  <c r="E26" i="7"/>
  <c r="E30" i="7"/>
  <c r="G26" i="5"/>
  <c r="G30" i="5"/>
  <c r="L22" i="6"/>
  <c r="L25" i="6"/>
  <c r="K25" i="6"/>
  <c r="K22" i="6"/>
  <c r="I90" i="88"/>
  <c r="I22" i="88"/>
  <c r="L53" i="84"/>
  <c r="L56" i="84" s="1"/>
  <c r="L57" i="84" s="1"/>
  <c r="D78" i="78"/>
  <c r="D74" i="78"/>
  <c r="G30" i="95"/>
  <c r="G26" i="95"/>
  <c r="Q24" i="89"/>
  <c r="L26" i="91"/>
  <c r="L22" i="91"/>
  <c r="H26" i="85"/>
  <c r="H30" i="85"/>
  <c r="E42" i="86"/>
  <c r="E43" i="86" s="1"/>
  <c r="E39" i="86"/>
  <c r="K48" i="84"/>
  <c r="K52" i="84"/>
  <c r="Q15" i="84"/>
  <c r="D89" i="89"/>
  <c r="D22" i="89"/>
  <c r="D30" i="95"/>
  <c r="J34" i="86"/>
  <c r="J38" i="86"/>
  <c r="Q26" i="81"/>
  <c r="Q30" i="81"/>
  <c r="F38" i="86"/>
  <c r="F34" i="86"/>
  <c r="O96" i="82"/>
  <c r="O92" i="82"/>
  <c r="G30" i="80"/>
  <c r="G26" i="80"/>
  <c r="Q17" i="86"/>
  <c r="E91" i="82"/>
  <c r="E22" i="82"/>
  <c r="D91" i="76"/>
  <c r="D95" i="76"/>
  <c r="I74" i="78"/>
  <c r="I78" i="78"/>
  <c r="N91" i="76"/>
  <c r="N95" i="76"/>
  <c r="N94" i="74"/>
  <c r="N97" i="74" s="1"/>
  <c r="N98" i="74" s="1"/>
  <c r="D26" i="80"/>
  <c r="D30" i="80"/>
  <c r="Q22" i="73"/>
  <c r="D91" i="82"/>
  <c r="D22" i="82"/>
  <c r="K32" i="77"/>
  <c r="K33" i="77" s="1"/>
  <c r="K29" i="77"/>
  <c r="E85" i="73"/>
  <c r="E89" i="73"/>
  <c r="O85" i="73"/>
  <c r="O89" i="73"/>
  <c r="D71" i="70"/>
  <c r="D19" i="70"/>
  <c r="Q18" i="72"/>
  <c r="Q24" i="72"/>
  <c r="H73" i="68"/>
  <c r="H77" i="68"/>
  <c r="J77" i="68"/>
  <c r="J73" i="68"/>
  <c r="H83" i="63"/>
  <c r="H87" i="63"/>
  <c r="E27" i="66"/>
  <c r="E15" i="66"/>
  <c r="D86" i="65"/>
  <c r="D90" i="65"/>
  <c r="F103" i="62"/>
  <c r="F99" i="62"/>
  <c r="J64" i="59"/>
  <c r="J68" i="59"/>
  <c r="J107" i="67"/>
  <c r="J111" i="67"/>
  <c r="L103" i="62"/>
  <c r="L99" i="62"/>
  <c r="L28" i="71"/>
  <c r="L24" i="71"/>
  <c r="M87" i="63"/>
  <c r="M83" i="63"/>
  <c r="Q17" i="61"/>
  <c r="Q52" i="61" s="1"/>
  <c r="M73" i="56"/>
  <c r="M77" i="56"/>
  <c r="L52" i="61"/>
  <c r="L15" i="61"/>
  <c r="K74" i="58"/>
  <c r="K78" i="58"/>
  <c r="D78" i="58"/>
  <c r="D74" i="58"/>
  <c r="E30" i="53"/>
  <c r="E26" i="53"/>
  <c r="D25" i="47"/>
  <c r="D17" i="47"/>
  <c r="M58" i="61"/>
  <c r="M61" i="61" s="1"/>
  <c r="M62" i="61" s="1"/>
  <c r="I74" i="58"/>
  <c r="I78" i="58"/>
  <c r="Q17" i="60"/>
  <c r="K33" i="66"/>
  <c r="K36" i="66" s="1"/>
  <c r="K37" i="66" s="1"/>
  <c r="F73" i="56"/>
  <c r="F77" i="56"/>
  <c r="D73" i="48"/>
  <c r="D77" i="48"/>
  <c r="G26" i="43"/>
  <c r="G78" i="48"/>
  <c r="G81" i="48" s="1"/>
  <c r="G82" i="48" s="1"/>
  <c r="F57" i="61"/>
  <c r="F53" i="61"/>
  <c r="G32" i="54"/>
  <c r="G33" i="54" s="1"/>
  <c r="G27" i="54"/>
  <c r="O63" i="60"/>
  <c r="O66" i="60" s="1"/>
  <c r="O67" i="60" s="1"/>
  <c r="M107" i="42"/>
  <c r="M111" i="42"/>
  <c r="E119" i="36"/>
  <c r="E115" i="36"/>
  <c r="I117" i="30"/>
  <c r="I39" i="30"/>
  <c r="M114" i="39"/>
  <c r="M110" i="39"/>
  <c r="L90" i="27"/>
  <c r="L86" i="27"/>
  <c r="I101" i="45"/>
  <c r="I97" i="45"/>
  <c r="E25" i="32"/>
  <c r="E17" i="32"/>
  <c r="I62" i="60"/>
  <c r="I58" i="60"/>
  <c r="E30" i="37"/>
  <c r="E26" i="37"/>
  <c r="M118" i="30"/>
  <c r="M122" i="30"/>
  <c r="D30" i="16"/>
  <c r="G83" i="24"/>
  <c r="G87" i="24"/>
  <c r="H155" i="18"/>
  <c r="H151" i="18"/>
  <c r="O110" i="39"/>
  <c r="O114" i="39"/>
  <c r="G145" i="15"/>
  <c r="G149" i="15"/>
  <c r="M155" i="18"/>
  <c r="M151" i="18"/>
  <c r="K151" i="18"/>
  <c r="K155" i="18"/>
  <c r="L157" i="12"/>
  <c r="L160" i="12" s="1"/>
  <c r="L161" i="12" s="1"/>
  <c r="F95" i="21"/>
  <c r="F91" i="21"/>
  <c r="D30" i="23"/>
  <c r="D26" i="23"/>
  <c r="D118" i="30"/>
  <c r="D122" i="30"/>
  <c r="G26" i="23"/>
  <c r="G30" i="23"/>
  <c r="E149" i="15"/>
  <c r="E145" i="15"/>
  <c r="N83" i="24"/>
  <c r="N87" i="24"/>
  <c r="L167" i="3"/>
  <c r="L171" i="3"/>
  <c r="D30" i="5"/>
  <c r="D26" i="5"/>
  <c r="Q166" i="3"/>
  <c r="Q61" i="3"/>
  <c r="M95" i="9"/>
  <c r="M98" i="9"/>
  <c r="F48" i="84"/>
  <c r="F52" i="84"/>
  <c r="E91" i="83"/>
  <c r="E87" i="83"/>
  <c r="E26" i="80"/>
  <c r="E30" i="80"/>
  <c r="D29" i="77"/>
  <c r="D32" i="77"/>
  <c r="D33" i="77" s="1"/>
  <c r="J28" i="79"/>
  <c r="J32" i="79"/>
  <c r="M21" i="91"/>
  <c r="M15" i="91"/>
  <c r="Q24" i="88"/>
  <c r="Q90" i="88" s="1"/>
  <c r="G73" i="92"/>
  <c r="G77" i="92"/>
  <c r="N48" i="84"/>
  <c r="N52" i="84"/>
  <c r="Q10" i="89"/>
  <c r="Q21" i="89" s="1"/>
  <c r="L91" i="88"/>
  <c r="L95" i="88"/>
  <c r="H90" i="88"/>
  <c r="H22" i="88"/>
  <c r="H47" i="84"/>
  <c r="H15" i="84"/>
  <c r="M91" i="88"/>
  <c r="M95" i="88"/>
  <c r="O26" i="85"/>
  <c r="O30" i="85"/>
  <c r="N96" i="82"/>
  <c r="N92" i="82"/>
  <c r="J26" i="85"/>
  <c r="J30" i="85"/>
  <c r="J47" i="84"/>
  <c r="J15" i="84"/>
  <c r="K87" i="83"/>
  <c r="K91" i="83"/>
  <c r="G26" i="85"/>
  <c r="G30" i="85"/>
  <c r="H26" i="81"/>
  <c r="H30" i="81"/>
  <c r="E48" i="84"/>
  <c r="E52" i="84"/>
  <c r="D32" i="79"/>
  <c r="D28" i="79"/>
  <c r="E74" i="78"/>
  <c r="E78" i="78"/>
  <c r="Q24" i="76"/>
  <c r="M28" i="77"/>
  <c r="M24" i="77"/>
  <c r="N28" i="79"/>
  <c r="N32" i="79"/>
  <c r="J95" i="76"/>
  <c r="J91" i="76"/>
  <c r="F88" i="74"/>
  <c r="F23" i="74"/>
  <c r="H30" i="75"/>
  <c r="H34" i="75"/>
  <c r="J89" i="74"/>
  <c r="J93" i="74"/>
  <c r="E76" i="70"/>
  <c r="E72" i="70"/>
  <c r="L89" i="74"/>
  <c r="L93" i="74"/>
  <c r="I30" i="75"/>
  <c r="I34" i="75"/>
  <c r="F85" i="73"/>
  <c r="F89" i="73"/>
  <c r="H28" i="66"/>
  <c r="H32" i="66"/>
  <c r="Q29" i="63"/>
  <c r="Q82" i="63"/>
  <c r="K80" i="69"/>
  <c r="K76" i="69"/>
  <c r="I90" i="65"/>
  <c r="I86" i="65"/>
  <c r="L58" i="60"/>
  <c r="L62" i="60"/>
  <c r="M67" i="57"/>
  <c r="M71" i="57"/>
  <c r="L72" i="70"/>
  <c r="L76" i="70"/>
  <c r="J58" i="60"/>
  <c r="J62" i="60"/>
  <c r="E73" i="56"/>
  <c r="E77" i="56"/>
  <c r="E76" i="69"/>
  <c r="E80" i="69"/>
  <c r="D52" i="61"/>
  <c r="D15" i="61"/>
  <c r="M73" i="58"/>
  <c r="M15" i="58"/>
  <c r="E53" i="61"/>
  <c r="E57" i="61"/>
  <c r="F22" i="54"/>
  <c r="F26" i="54"/>
  <c r="K16" i="48"/>
  <c r="K72" i="48"/>
  <c r="L31" i="55"/>
  <c r="L35" i="55"/>
  <c r="E41" i="64"/>
  <c r="E37" i="64"/>
  <c r="J74" i="58"/>
  <c r="J78" i="58"/>
  <c r="E25" i="46"/>
  <c r="E17" i="46"/>
  <c r="D22" i="54"/>
  <c r="D26" i="54"/>
  <c r="H76" i="51"/>
  <c r="H80" i="51"/>
  <c r="E22" i="45"/>
  <c r="E96" i="45"/>
  <c r="O101" i="45"/>
  <c r="O97" i="45"/>
  <c r="E76" i="51"/>
  <c r="E80" i="51"/>
  <c r="G31" i="55"/>
  <c r="G35" i="55"/>
  <c r="E26" i="43"/>
  <c r="E30" i="43"/>
  <c r="O27" i="54"/>
  <c r="O32" i="54" s="1"/>
  <c r="O33" i="54" s="1"/>
  <c r="L111" i="42"/>
  <c r="L107" i="42"/>
  <c r="N67" i="57"/>
  <c r="N71" i="57"/>
  <c r="J76" i="51"/>
  <c r="J80" i="51"/>
  <c r="L97" i="45"/>
  <c r="L101" i="45"/>
  <c r="E30" i="31"/>
  <c r="E22" i="33"/>
  <c r="E72" i="33"/>
  <c r="Q39" i="30"/>
  <c r="E26" i="29"/>
  <c r="E30" i="29"/>
  <c r="O73" i="33"/>
  <c r="O77" i="33"/>
  <c r="G126" i="30"/>
  <c r="G127" i="30" s="1"/>
  <c r="G123" i="30"/>
  <c r="E107" i="42"/>
  <c r="E111" i="42"/>
  <c r="D114" i="39"/>
  <c r="D110" i="39"/>
  <c r="O151" i="18"/>
  <c r="O155" i="18"/>
  <c r="H152" i="12"/>
  <c r="H156" i="12"/>
  <c r="N95" i="21"/>
  <c r="N91" i="21"/>
  <c r="H91" i="21"/>
  <c r="H95" i="21"/>
  <c r="G26" i="32"/>
  <c r="G30" i="32"/>
  <c r="L115" i="36"/>
  <c r="L119" i="36"/>
  <c r="D30" i="19"/>
  <c r="D26" i="19"/>
  <c r="G26" i="8"/>
  <c r="E30" i="8"/>
  <c r="E26" i="8"/>
  <c r="F26" i="6"/>
  <c r="F31" i="6" s="1"/>
  <c r="F32" i="6" s="1"/>
  <c r="D95" i="9"/>
  <c r="D98" i="9"/>
  <c r="D22" i="6"/>
  <c r="D25" i="6"/>
  <c r="O171" i="3"/>
  <c r="O167" i="3"/>
  <c r="I34" i="86"/>
  <c r="I38" i="86"/>
  <c r="I22" i="82"/>
  <c r="I91" i="82"/>
  <c r="N27" i="91"/>
  <c r="N30" i="91" s="1"/>
  <c r="N31" i="91" s="1"/>
  <c r="N95" i="88"/>
  <c r="N91" i="88"/>
  <c r="E26" i="93"/>
  <c r="E30" i="93"/>
  <c r="M91" i="90"/>
  <c r="M95" i="90"/>
  <c r="K91" i="90"/>
  <c r="K95" i="90"/>
  <c r="E91" i="90"/>
  <c r="E95" i="90"/>
  <c r="O27" i="91"/>
  <c r="O30" i="91"/>
  <c r="O31" i="91" s="1"/>
  <c r="G27" i="91"/>
  <c r="G30" i="91" s="1"/>
  <c r="G31" i="91" s="1"/>
  <c r="F95" i="88"/>
  <c r="F91" i="88"/>
  <c r="K59" i="87"/>
  <c r="K63" i="87"/>
  <c r="D26" i="91"/>
  <c r="D22" i="91"/>
  <c r="H33" i="86"/>
  <c r="H17" i="86"/>
  <c r="L91" i="82"/>
  <c r="L22" i="82"/>
  <c r="I52" i="84"/>
  <c r="I48" i="84"/>
  <c r="D48" i="84"/>
  <c r="D52" i="84"/>
  <c r="N25" i="85"/>
  <c r="N15" i="85"/>
  <c r="Q17" i="80"/>
  <c r="Q25" i="80" s="1"/>
  <c r="J26" i="80"/>
  <c r="J30" i="80"/>
  <c r="I26" i="81"/>
  <c r="I30" i="81"/>
  <c r="Q27" i="79"/>
  <c r="Q15" i="79"/>
  <c r="I33" i="79"/>
  <c r="I36" i="79" s="1"/>
  <c r="I37" i="79" s="1"/>
  <c r="O90" i="76"/>
  <c r="O22" i="76"/>
  <c r="N26" i="81"/>
  <c r="N30" i="81"/>
  <c r="Q17" i="78"/>
  <c r="Q73" i="78" s="1"/>
  <c r="M91" i="76"/>
  <c r="M95" i="76"/>
  <c r="J30" i="81"/>
  <c r="J26" i="81"/>
  <c r="N28" i="77"/>
  <c r="N24" i="77"/>
  <c r="H93" i="74"/>
  <c r="H89" i="74"/>
  <c r="E21" i="75"/>
  <c r="E29" i="75"/>
  <c r="D38" i="75"/>
  <c r="D39" i="75" s="1"/>
  <c r="D35" i="75"/>
  <c r="M85" i="73"/>
  <c r="M89" i="73"/>
  <c r="H95" i="76"/>
  <c r="H91" i="76"/>
  <c r="E29" i="72"/>
  <c r="E25" i="72"/>
  <c r="N29" i="72"/>
  <c r="N25" i="72"/>
  <c r="F29" i="72"/>
  <c r="F25" i="72"/>
  <c r="N28" i="66"/>
  <c r="N32" i="66"/>
  <c r="H30" i="69"/>
  <c r="H75" i="69"/>
  <c r="E107" i="67"/>
  <c r="E111" i="67"/>
  <c r="G83" i="63"/>
  <c r="G87" i="63"/>
  <c r="G90" i="73"/>
  <c r="G93" i="73" s="1"/>
  <c r="G94" i="73" s="1"/>
  <c r="Q24" i="68"/>
  <c r="Q72" i="68" s="1"/>
  <c r="L27" i="66"/>
  <c r="L15" i="66"/>
  <c r="J86" i="65"/>
  <c r="J90" i="65"/>
  <c r="E67" i="57"/>
  <c r="E71" i="57"/>
  <c r="K58" i="60"/>
  <c r="K62" i="60"/>
  <c r="E73" i="58"/>
  <c r="E15" i="58"/>
  <c r="M58" i="60"/>
  <c r="M62" i="60"/>
  <c r="G106" i="67"/>
  <c r="G39" i="67"/>
  <c r="G30" i="52"/>
  <c r="I53" i="61"/>
  <c r="I57" i="61"/>
  <c r="D31" i="52"/>
  <c r="D36" i="52" s="1"/>
  <c r="D37" i="52" s="1"/>
  <c r="H77" i="48"/>
  <c r="H73" i="48"/>
  <c r="F96" i="45"/>
  <c r="F22" i="45"/>
  <c r="N69" i="59"/>
  <c r="N72" i="59"/>
  <c r="N73" i="59" s="1"/>
  <c r="Q10" i="45"/>
  <c r="Q21" i="45" s="1"/>
  <c r="J73" i="48"/>
  <c r="J77" i="48"/>
  <c r="M77" i="48"/>
  <c r="M73" i="48"/>
  <c r="M22" i="54"/>
  <c r="M26" i="54"/>
  <c r="M97" i="45"/>
  <c r="M101" i="45"/>
  <c r="F67" i="57"/>
  <c r="F71" i="57"/>
  <c r="Q10" i="39"/>
  <c r="Q23" i="39" s="1"/>
  <c r="Q72" i="33"/>
  <c r="Q22" i="33"/>
  <c r="E30" i="27"/>
  <c r="E85" i="27"/>
  <c r="G30" i="37"/>
  <c r="G26" i="37"/>
  <c r="L118" i="30"/>
  <c r="L122" i="30"/>
  <c r="H109" i="39"/>
  <c r="H24" i="39"/>
  <c r="Q41" i="30"/>
  <c r="Q117" i="30" s="1"/>
  <c r="F30" i="27"/>
  <c r="F85" i="27"/>
  <c r="N58" i="60"/>
  <c r="N62" i="60"/>
  <c r="E26" i="40"/>
  <c r="E30" i="40"/>
  <c r="L22" i="33"/>
  <c r="L72" i="33"/>
  <c r="E26" i="28"/>
  <c r="E30" i="28"/>
  <c r="E30" i="13"/>
  <c r="I151" i="12"/>
  <c r="I53" i="12"/>
  <c r="L145" i="15"/>
  <c r="L149" i="15"/>
  <c r="G26" i="13"/>
  <c r="L91" i="21"/>
  <c r="L95" i="21"/>
  <c r="I151" i="18"/>
  <c r="I155" i="18"/>
  <c r="G26" i="22"/>
  <c r="E83" i="24"/>
  <c r="E87" i="24"/>
  <c r="G152" i="12"/>
  <c r="G156" i="12"/>
  <c r="K167" i="3"/>
  <c r="K171" i="3"/>
  <c r="H171" i="3"/>
  <c r="H167" i="3"/>
  <c r="I167" i="3"/>
  <c r="I171" i="3"/>
  <c r="N95" i="9"/>
  <c r="N98" i="9"/>
  <c r="G31" i="4"/>
  <c r="G36" i="4" s="1"/>
  <c r="G37" i="4" s="1"/>
  <c r="E95" i="9"/>
  <c r="E98" i="9"/>
  <c r="D91" i="90"/>
  <c r="D95" i="90"/>
  <c r="D91" i="88"/>
  <c r="D95" i="88"/>
  <c r="K73" i="92"/>
  <c r="K77" i="92"/>
  <c r="F22" i="90"/>
  <c r="F90" i="90"/>
  <c r="F63" i="87"/>
  <c r="F59" i="87"/>
  <c r="Q24" i="90"/>
  <c r="Q90" i="90" s="1"/>
  <c r="E21" i="91"/>
  <c r="E15" i="91"/>
  <c r="E31" i="94"/>
  <c r="E36" i="94" s="1"/>
  <c r="E37" i="94" s="1"/>
  <c r="Q16" i="92"/>
  <c r="I90" i="90"/>
  <c r="I22" i="90"/>
  <c r="Q18" i="92"/>
  <c r="Q72" i="92" s="1"/>
  <c r="E77" i="92"/>
  <c r="E73" i="92"/>
  <c r="L15" i="87"/>
  <c r="L58" i="87"/>
  <c r="J78" i="92"/>
  <c r="J81" i="92" s="1"/>
  <c r="J82" i="92" s="1"/>
  <c r="J58" i="87"/>
  <c r="J15" i="87"/>
  <c r="I22" i="91"/>
  <c r="I26" i="91"/>
  <c r="K94" i="89"/>
  <c r="K90" i="89"/>
  <c r="N38" i="86"/>
  <c r="N34" i="86"/>
  <c r="M34" i="86"/>
  <c r="M38" i="86"/>
  <c r="N91" i="83"/>
  <c r="N87" i="83"/>
  <c r="H92" i="82"/>
  <c r="H96" i="82"/>
  <c r="H59" i="87"/>
  <c r="H63" i="87"/>
  <c r="F96" i="82"/>
  <c r="F92" i="82"/>
  <c r="E26" i="81"/>
  <c r="E30" i="81"/>
  <c r="F25" i="85"/>
  <c r="F15" i="85"/>
  <c r="O30" i="80"/>
  <c r="O26" i="80"/>
  <c r="O48" i="84"/>
  <c r="O52" i="84"/>
  <c r="L32" i="79"/>
  <c r="L28" i="79"/>
  <c r="H27" i="79"/>
  <c r="H15" i="79"/>
  <c r="G79" i="78"/>
  <c r="G82" i="78" s="1"/>
  <c r="G83" i="78" s="1"/>
  <c r="N78" i="78"/>
  <c r="N74" i="78"/>
  <c r="E28" i="77"/>
  <c r="E24" i="77"/>
  <c r="G90" i="76"/>
  <c r="G22" i="76"/>
  <c r="K78" i="78"/>
  <c r="K74" i="78"/>
  <c r="Q10" i="76"/>
  <c r="Q21" i="76" s="1"/>
  <c r="G30" i="81"/>
  <c r="G26" i="81"/>
  <c r="F28" i="79"/>
  <c r="F32" i="79"/>
  <c r="J89" i="73"/>
  <c r="J85" i="73"/>
  <c r="Q20" i="75"/>
  <c r="Q20" i="73"/>
  <c r="Q84" i="73"/>
  <c r="I24" i="77"/>
  <c r="I28" i="77"/>
  <c r="E91" i="76"/>
  <c r="E95" i="76"/>
  <c r="Q10" i="74"/>
  <c r="Q22" i="74" s="1"/>
  <c r="M38" i="75"/>
  <c r="M39" i="75" s="1"/>
  <c r="M35" i="75"/>
  <c r="I26" i="80"/>
  <c r="I30" i="80"/>
  <c r="M29" i="72"/>
  <c r="M25" i="72"/>
  <c r="F22" i="76"/>
  <c r="F90" i="76"/>
  <c r="M82" i="78"/>
  <c r="M83" i="78" s="1"/>
  <c r="M79" i="78"/>
  <c r="I23" i="71"/>
  <c r="I15" i="71"/>
  <c r="O34" i="75"/>
  <c r="O30" i="75"/>
  <c r="E89" i="74"/>
  <c r="E93" i="74"/>
  <c r="N73" i="68"/>
  <c r="N77" i="68"/>
  <c r="D27" i="66"/>
  <c r="D15" i="66"/>
  <c r="H106" i="67"/>
  <c r="H39" i="67"/>
  <c r="I25" i="72"/>
  <c r="I29" i="72"/>
  <c r="H25" i="72"/>
  <c r="H29" i="72"/>
  <c r="K86" i="65"/>
  <c r="K90" i="65"/>
  <c r="Q57" i="60"/>
  <c r="Q15" i="60"/>
  <c r="K87" i="63"/>
  <c r="K83" i="63"/>
  <c r="J22" i="54"/>
  <c r="J26" i="54"/>
  <c r="Q10" i="67"/>
  <c r="Q38" i="67" s="1"/>
  <c r="D35" i="55"/>
  <c r="D31" i="55"/>
  <c r="K76" i="51"/>
  <c r="K80" i="51"/>
  <c r="Q24" i="45"/>
  <c r="N31" i="55"/>
  <c r="N35" i="55"/>
  <c r="L73" i="48"/>
  <c r="L77" i="48"/>
  <c r="G63" i="60"/>
  <c r="G66" i="60" s="1"/>
  <c r="G67" i="60" s="1"/>
  <c r="O31" i="55"/>
  <c r="O35" i="55"/>
  <c r="G101" i="45"/>
  <c r="G97" i="45"/>
  <c r="G30" i="49"/>
  <c r="G26" i="49"/>
  <c r="D26" i="40"/>
  <c r="D30" i="40"/>
  <c r="E30" i="49"/>
  <c r="E26" i="49"/>
  <c r="H97" i="45"/>
  <c r="H101" i="45"/>
  <c r="J109" i="39"/>
  <c r="J24" i="39"/>
  <c r="J73" i="33"/>
  <c r="J77" i="33"/>
  <c r="K122" i="30"/>
  <c r="K118" i="30"/>
  <c r="E30" i="34"/>
  <c r="E26" i="34"/>
  <c r="J122" i="30"/>
  <c r="J118" i="30"/>
  <c r="E31" i="26"/>
  <c r="E36" i="26" s="1"/>
  <c r="E37" i="26" s="1"/>
  <c r="F110" i="39"/>
  <c r="F114" i="39"/>
  <c r="G120" i="36"/>
  <c r="G123" i="36" s="1"/>
  <c r="G124" i="36" s="1"/>
  <c r="O126" i="30"/>
  <c r="O127" i="30" s="1"/>
  <c r="O123" i="30"/>
  <c r="D30" i="25"/>
  <c r="D26" i="25"/>
  <c r="O107" i="42"/>
  <c r="O111" i="42"/>
  <c r="G30" i="26"/>
  <c r="Q10" i="27"/>
  <c r="Q29" i="27" s="1"/>
  <c r="I95" i="21"/>
  <c r="I91" i="21"/>
  <c r="G55" i="18"/>
  <c r="G150" i="18"/>
  <c r="D26" i="17"/>
  <c r="D30" i="17"/>
  <c r="J151" i="18"/>
  <c r="J155" i="18"/>
  <c r="K73" i="33"/>
  <c r="K77" i="33"/>
  <c r="D26" i="13"/>
  <c r="D30" i="13"/>
  <c r="K91" i="27"/>
  <c r="K94" i="27" s="1"/>
  <c r="K95" i="27" s="1"/>
  <c r="J26" i="6"/>
  <c r="J31" i="6" s="1"/>
  <c r="J32" i="6" s="1"/>
  <c r="G26" i="11"/>
  <c r="G30" i="11"/>
  <c r="I26" i="6"/>
  <c r="I31" i="6"/>
  <c r="I32" i="6" s="1"/>
  <c r="K99" i="9"/>
  <c r="K102" i="9"/>
  <c r="K103" i="9" s="1"/>
  <c r="F167" i="3"/>
  <c r="F171" i="3"/>
  <c r="H24" i="77"/>
  <c r="H28" i="77"/>
  <c r="Q22" i="82"/>
  <c r="Q91" i="82"/>
  <c r="D26" i="93"/>
  <c r="D30" i="93"/>
  <c r="I16" i="92"/>
  <c r="I72" i="92"/>
  <c r="O73" i="92"/>
  <c r="O77" i="92"/>
  <c r="M89" i="89"/>
  <c r="M22" i="89"/>
  <c r="H22" i="91"/>
  <c r="H26" i="91"/>
  <c r="D15" i="87"/>
  <c r="D58" i="87"/>
  <c r="O99" i="90"/>
  <c r="O100" i="90" s="1"/>
  <c r="O96" i="90"/>
  <c r="H90" i="89"/>
  <c r="H94" i="89"/>
  <c r="Q19" i="86"/>
  <c r="Q33" i="86" s="1"/>
  <c r="E91" i="88"/>
  <c r="E95" i="88"/>
  <c r="Q18" i="83"/>
  <c r="L90" i="89"/>
  <c r="L94" i="89"/>
  <c r="Q21" i="83"/>
  <c r="M30" i="85"/>
  <c r="M26" i="85"/>
  <c r="L25" i="85"/>
  <c r="L15" i="85"/>
  <c r="O59" i="87"/>
  <c r="O63" i="87"/>
  <c r="N94" i="89"/>
  <c r="N90" i="89"/>
  <c r="D26" i="81"/>
  <c r="D30" i="81"/>
  <c r="K96" i="88"/>
  <c r="K99" i="88" s="1"/>
  <c r="K100" i="88" s="1"/>
  <c r="I87" i="83"/>
  <c r="I91" i="83"/>
  <c r="K30" i="81"/>
  <c r="K26" i="81"/>
  <c r="K32" i="79"/>
  <c r="K28" i="79"/>
  <c r="Q17" i="84"/>
  <c r="Q47" i="84" s="1"/>
  <c r="I90" i="89"/>
  <c r="I94" i="89"/>
  <c r="F26" i="81"/>
  <c r="F30" i="81"/>
  <c r="O78" i="78"/>
  <c r="O74" i="78"/>
  <c r="F28" i="77"/>
  <c r="F24" i="77"/>
  <c r="D88" i="74"/>
  <c r="D23" i="74"/>
  <c r="J87" i="83"/>
  <c r="J91" i="83"/>
  <c r="D85" i="73"/>
  <c r="D89" i="73"/>
  <c r="D28" i="71"/>
  <c r="D24" i="71"/>
  <c r="G24" i="72"/>
  <c r="G18" i="72"/>
  <c r="K33" i="72"/>
  <c r="K34" i="72" s="1"/>
  <c r="K30" i="72"/>
  <c r="O76" i="69"/>
  <c r="O80" i="69"/>
  <c r="F28" i="66"/>
  <c r="F32" i="66"/>
  <c r="M76" i="69"/>
  <c r="M80" i="69"/>
  <c r="L41" i="64"/>
  <c r="L37" i="64"/>
  <c r="G75" i="69"/>
  <c r="G30" i="69"/>
  <c r="F90" i="65"/>
  <c r="F86" i="65"/>
  <c r="O83" i="63"/>
  <c r="O87" i="63"/>
  <c r="J28" i="71"/>
  <c r="J24" i="71"/>
  <c r="N83" i="63"/>
  <c r="N87" i="63"/>
  <c r="N24" i="71"/>
  <c r="N28" i="71"/>
  <c r="K107" i="67"/>
  <c r="K111" i="67"/>
  <c r="M103" i="62"/>
  <c r="M99" i="62"/>
  <c r="L68" i="59"/>
  <c r="L64" i="59"/>
  <c r="H57" i="60"/>
  <c r="H15" i="60"/>
  <c r="O41" i="64"/>
  <c r="O37" i="64"/>
  <c r="G64" i="59"/>
  <c r="G68" i="59"/>
  <c r="K99" i="62"/>
  <c r="K103" i="62"/>
  <c r="M107" i="67"/>
  <c r="M111" i="67"/>
  <c r="E58" i="60"/>
  <c r="E62" i="60"/>
  <c r="N80" i="51"/>
  <c r="N76" i="51"/>
  <c r="Q17" i="59"/>
  <c r="Q63" i="59" s="1"/>
  <c r="Q32" i="51"/>
  <c r="Q75" i="51" s="1"/>
  <c r="F31" i="55"/>
  <c r="F35" i="55"/>
  <c r="L77" i="68"/>
  <c r="L73" i="68"/>
  <c r="J97" i="45"/>
  <c r="J101" i="45"/>
  <c r="H26" i="54"/>
  <c r="H22" i="54"/>
  <c r="G57" i="61"/>
  <c r="G53" i="61"/>
  <c r="I27" i="54"/>
  <c r="I32" i="54"/>
  <c r="I33" i="54" s="1"/>
  <c r="O67" i="57"/>
  <c r="O71" i="57"/>
  <c r="E22" i="54"/>
  <c r="E26" i="54"/>
  <c r="K114" i="39"/>
  <c r="K110" i="39"/>
  <c r="O114" i="36"/>
  <c r="O24" i="36"/>
  <c r="L82" i="24"/>
  <c r="L29" i="24"/>
  <c r="J115" i="36"/>
  <c r="J119" i="36"/>
  <c r="D115" i="36"/>
  <c r="D119" i="36"/>
  <c r="K115" i="36"/>
  <c r="K119" i="36"/>
  <c r="E26" i="38"/>
  <c r="E30" i="38"/>
  <c r="E118" i="30"/>
  <c r="E122" i="30"/>
  <c r="F58" i="60"/>
  <c r="F62" i="60"/>
  <c r="Q26" i="39"/>
  <c r="I115" i="36"/>
  <c r="I119" i="36"/>
  <c r="O95" i="21"/>
  <c r="O91" i="21"/>
  <c r="N156" i="12"/>
  <c r="N152" i="12"/>
  <c r="L156" i="18"/>
  <c r="L159" i="18" s="1"/>
  <c r="L160" i="18" s="1"/>
  <c r="M152" i="12"/>
  <c r="M156" i="12"/>
  <c r="M91" i="21"/>
  <c r="M95" i="21"/>
  <c r="J149" i="15"/>
  <c r="J145" i="15"/>
  <c r="H83" i="24"/>
  <c r="H87" i="24"/>
  <c r="O83" i="24"/>
  <c r="O87" i="24"/>
  <c r="E30" i="22"/>
  <c r="E26" i="22"/>
  <c r="N155" i="18"/>
  <c r="N151" i="18"/>
  <c r="D61" i="3"/>
  <c r="D166" i="3"/>
  <c r="G26" i="7"/>
  <c r="O22" i="6"/>
  <c r="O25" i="6"/>
  <c r="D30" i="11"/>
  <c r="D26" i="11"/>
  <c r="G171" i="3"/>
  <c r="G167" i="3"/>
  <c r="N167" i="3"/>
  <c r="N171" i="3"/>
  <c r="F95" i="9"/>
  <c r="F98" i="9"/>
  <c r="N31" i="6"/>
  <c r="N32" i="6" s="1"/>
  <c r="N26" i="6"/>
  <c r="Q98" i="9"/>
  <c r="Q95" i="9"/>
  <c r="D30" i="32" l="1"/>
  <c r="G26" i="53"/>
  <c r="G30" i="47"/>
  <c r="G31" i="47" s="1"/>
  <c r="G36" i="47" s="1"/>
  <c r="G37" i="47" s="1"/>
  <c r="D30" i="50"/>
  <c r="E26" i="5"/>
  <c r="E30" i="5"/>
  <c r="E31" i="5" s="1"/>
  <c r="E36" i="5" s="1"/>
  <c r="E37" i="5" s="1"/>
  <c r="G30" i="34"/>
  <c r="D30" i="14"/>
  <c r="D31" i="14" s="1"/>
  <c r="D36" i="14" s="1"/>
  <c r="D37" i="14" s="1"/>
  <c r="D30" i="43"/>
  <c r="G30" i="16"/>
  <c r="D30" i="7"/>
  <c r="D31" i="7" s="1"/>
  <c r="D36" i="7" s="1"/>
  <c r="D37" i="7" s="1"/>
  <c r="E26" i="4"/>
  <c r="E30" i="17"/>
  <c r="E31" i="17" s="1"/>
  <c r="E36" i="17" s="1"/>
  <c r="E37" i="17" s="1"/>
  <c r="E30" i="20"/>
  <c r="E26" i="10"/>
  <c r="G26" i="38"/>
  <c r="G26" i="17"/>
  <c r="D30" i="41"/>
  <c r="D31" i="41" s="1"/>
  <c r="D36" i="41" s="1"/>
  <c r="D37" i="41" s="1"/>
  <c r="D30" i="44"/>
  <c r="D31" i="44" s="1"/>
  <c r="D36" i="44" s="1"/>
  <c r="D37" i="44" s="1"/>
  <c r="D30" i="20"/>
  <c r="D31" i="20" s="1"/>
  <c r="D36" i="20" s="1"/>
  <c r="D37" i="20" s="1"/>
  <c r="G30" i="10"/>
  <c r="G31" i="10" s="1"/>
  <c r="G36" i="10" s="1"/>
  <c r="G37" i="10" s="1"/>
  <c r="G26" i="41"/>
  <c r="D26" i="10"/>
  <c r="E26" i="25"/>
  <c r="E26" i="41"/>
  <c r="G30" i="40"/>
  <c r="G31" i="40" s="1"/>
  <c r="G36" i="40" s="1"/>
  <c r="G37" i="40" s="1"/>
  <c r="G26" i="46"/>
  <c r="G26" i="29"/>
  <c r="G30" i="29"/>
  <c r="G31" i="29" s="1"/>
  <c r="G36" i="29" s="1"/>
  <c r="G37" i="29" s="1"/>
  <c r="G26" i="25"/>
  <c r="G30" i="25"/>
  <c r="G31" i="25" s="1"/>
  <c r="G36" i="25" s="1"/>
  <c r="G37" i="25" s="1"/>
  <c r="E26" i="19"/>
  <c r="D30" i="26"/>
  <c r="D31" i="26" s="1"/>
  <c r="D36" i="26" s="1"/>
  <c r="D37" i="26" s="1"/>
  <c r="D26" i="4"/>
  <c r="E30" i="16"/>
  <c r="E31" i="16" s="1"/>
  <c r="E36" i="16" s="1"/>
  <c r="E37" i="16" s="1"/>
  <c r="D30" i="22"/>
  <c r="D31" i="22" s="1"/>
  <c r="D36" i="22" s="1"/>
  <c r="D37" i="22" s="1"/>
  <c r="D26" i="22"/>
  <c r="G30" i="50"/>
  <c r="G31" i="50" s="1"/>
  <c r="G36" i="50" s="1"/>
  <c r="G37" i="50" s="1"/>
  <c r="G26" i="50"/>
  <c r="G30" i="28"/>
  <c r="G31" i="28" s="1"/>
  <c r="G36" i="28" s="1"/>
  <c r="G37" i="28" s="1"/>
  <c r="G26" i="28"/>
  <c r="D26" i="31"/>
  <c r="D30" i="31"/>
  <c r="E30" i="35"/>
  <c r="E31" i="35" s="1"/>
  <c r="E36" i="35" s="1"/>
  <c r="E37" i="35" s="1"/>
  <c r="G26" i="93"/>
  <c r="G30" i="93"/>
  <c r="G31" i="93" s="1"/>
  <c r="G36" i="93" s="1"/>
  <c r="G37" i="93" s="1"/>
  <c r="G31" i="14"/>
  <c r="G36" i="14" s="1"/>
  <c r="G37" i="14" s="1"/>
  <c r="D26" i="94"/>
  <c r="D30" i="94"/>
  <c r="D31" i="94" s="1"/>
  <c r="D36" i="94" s="1"/>
  <c r="D37" i="94" s="1"/>
  <c r="Q118" i="30"/>
  <c r="Q122" i="30"/>
  <c r="Q38" i="86"/>
  <c r="Q34" i="86"/>
  <c r="Q107" i="42"/>
  <c r="Q111" i="42"/>
  <c r="Q73" i="92"/>
  <c r="Q77" i="92"/>
  <c r="Q52" i="84"/>
  <c r="Q48" i="84"/>
  <c r="Q80" i="51"/>
  <c r="Q76" i="51"/>
  <c r="Q95" i="90"/>
  <c r="Q91" i="90"/>
  <c r="Q64" i="59"/>
  <c r="Q68" i="59"/>
  <c r="Q73" i="68"/>
  <c r="Q77" i="68"/>
  <c r="Q91" i="88"/>
  <c r="Q95" i="88"/>
  <c r="O35" i="75"/>
  <c r="O38" i="75"/>
  <c r="O39" i="75" s="1"/>
  <c r="M30" i="72"/>
  <c r="M33" i="72" s="1"/>
  <c r="M34" i="72" s="1"/>
  <c r="I29" i="77"/>
  <c r="I32" i="77" s="1"/>
  <c r="I33" i="77" s="1"/>
  <c r="E31" i="81"/>
  <c r="E34" i="81"/>
  <c r="E35" i="81" s="1"/>
  <c r="I27" i="91"/>
  <c r="I30" i="91" s="1"/>
  <c r="I31" i="91" s="1"/>
  <c r="F91" i="90"/>
  <c r="F95" i="90"/>
  <c r="E99" i="9"/>
  <c r="E102" i="9"/>
  <c r="E103" i="9" s="1"/>
  <c r="G31" i="13"/>
  <c r="G36" i="13" s="1"/>
  <c r="G37" i="13" s="1"/>
  <c r="N63" i="60"/>
  <c r="N66" i="60" s="1"/>
  <c r="N67" i="60" s="1"/>
  <c r="H114" i="39"/>
  <c r="H110" i="39"/>
  <c r="M27" i="54"/>
  <c r="M32" i="54" s="1"/>
  <c r="M33" i="54" s="1"/>
  <c r="E78" i="58"/>
  <c r="E74" i="58"/>
  <c r="L32" i="66"/>
  <c r="L28" i="66"/>
  <c r="H76" i="69"/>
  <c r="H80" i="69"/>
  <c r="E30" i="75"/>
  <c r="E34" i="75"/>
  <c r="M96" i="76"/>
  <c r="M99" i="76" s="1"/>
  <c r="M100" i="76" s="1"/>
  <c r="M96" i="90"/>
  <c r="M99" i="90" s="1"/>
  <c r="M100" i="90" s="1"/>
  <c r="I92" i="82"/>
  <c r="I96" i="82"/>
  <c r="D99" i="9"/>
  <c r="D102" i="9"/>
  <c r="D103" i="9" s="1"/>
  <c r="H96" i="21"/>
  <c r="H99" i="21"/>
  <c r="H100" i="21" s="1"/>
  <c r="O78" i="33"/>
  <c r="O81" i="33"/>
  <c r="O82" i="33" s="1"/>
  <c r="E31" i="31"/>
  <c r="E36" i="31" s="1"/>
  <c r="E37" i="31" s="1"/>
  <c r="G36" i="55"/>
  <c r="G39" i="55" s="1"/>
  <c r="G40" i="55" s="1"/>
  <c r="H81" i="51"/>
  <c r="H84" i="51"/>
  <c r="H85" i="51" s="1"/>
  <c r="E58" i="61"/>
  <c r="E61" i="61" s="1"/>
  <c r="E62" i="61" s="1"/>
  <c r="E78" i="56"/>
  <c r="E81" i="56"/>
  <c r="E82" i="56" s="1"/>
  <c r="L63" i="60"/>
  <c r="L66" i="60"/>
  <c r="L67" i="60" s="1"/>
  <c r="H33" i="66"/>
  <c r="H36" i="66" s="1"/>
  <c r="H37" i="66" s="1"/>
  <c r="H52" i="84"/>
  <c r="H48" i="84"/>
  <c r="G78" i="92"/>
  <c r="G81" i="92"/>
  <c r="G82" i="92" s="1"/>
  <c r="F96" i="21"/>
  <c r="F99" i="21" s="1"/>
  <c r="F100" i="21" s="1"/>
  <c r="D31" i="16"/>
  <c r="D36" i="16" s="1"/>
  <c r="D37" i="16" s="1"/>
  <c r="I63" i="60"/>
  <c r="I66" i="60"/>
  <c r="I67" i="60" s="1"/>
  <c r="M115" i="39"/>
  <c r="M118" i="39" s="1"/>
  <c r="M119" i="39" s="1"/>
  <c r="G31" i="46"/>
  <c r="G36" i="46" s="1"/>
  <c r="G37" i="46" s="1"/>
  <c r="L29" i="71"/>
  <c r="L32" i="71"/>
  <c r="L33" i="71" s="1"/>
  <c r="F104" i="62"/>
  <c r="F107" i="62"/>
  <c r="F108" i="62" s="1"/>
  <c r="J78" i="68"/>
  <c r="J81" i="68" s="1"/>
  <c r="J82" i="68" s="1"/>
  <c r="D31" i="80"/>
  <c r="D34" i="80" s="1"/>
  <c r="D35" i="80" s="1"/>
  <c r="D96" i="76"/>
  <c r="D99" i="76" s="1"/>
  <c r="D100" i="76" s="1"/>
  <c r="D31" i="95"/>
  <c r="D36" i="95" s="1"/>
  <c r="D37" i="95" s="1"/>
  <c r="G31" i="95"/>
  <c r="G36" i="95" s="1"/>
  <c r="G37" i="95" s="1"/>
  <c r="K26" i="6"/>
  <c r="K31" i="6"/>
  <c r="K32" i="6" s="1"/>
  <c r="G96" i="21"/>
  <c r="G99" i="21"/>
  <c r="G100" i="21" s="1"/>
  <c r="G31" i="19"/>
  <c r="G36" i="19" s="1"/>
  <c r="G37" i="19" s="1"/>
  <c r="N115" i="39"/>
  <c r="N118" i="39"/>
  <c r="N119" i="39" s="1"/>
  <c r="O78" i="48"/>
  <c r="O81" i="48"/>
  <c r="O82" i="48" s="1"/>
  <c r="E31" i="52"/>
  <c r="E36" i="52" s="1"/>
  <c r="E37" i="52" s="1"/>
  <c r="F79" i="58"/>
  <c r="F82" i="58"/>
  <c r="F83" i="58" s="1"/>
  <c r="J77" i="70"/>
  <c r="J80" i="70"/>
  <c r="J81" i="70" s="1"/>
  <c r="I111" i="67"/>
  <c r="I107" i="67"/>
  <c r="J172" i="3"/>
  <c r="J177" i="3"/>
  <c r="J178" i="3" s="1"/>
  <c r="H145" i="15"/>
  <c r="H149" i="15"/>
  <c r="N86" i="27"/>
  <c r="N90" i="27"/>
  <c r="I80" i="51"/>
  <c r="I76" i="51"/>
  <c r="F78" i="68"/>
  <c r="F81" i="68"/>
  <c r="F82" i="68" s="1"/>
  <c r="O29" i="71"/>
  <c r="O32" i="71" s="1"/>
  <c r="O33" i="71" s="1"/>
  <c r="I42" i="64"/>
  <c r="I45" i="64" s="1"/>
  <c r="I46" i="64" s="1"/>
  <c r="O112" i="67"/>
  <c r="O115" i="67"/>
  <c r="O116" i="67" s="1"/>
  <c r="M31" i="81"/>
  <c r="M34" i="81"/>
  <c r="M35" i="81" s="1"/>
  <c r="H92" i="83"/>
  <c r="H95" i="83"/>
  <c r="H96" i="83" s="1"/>
  <c r="D39" i="86"/>
  <c r="D42" i="86" s="1"/>
  <c r="D43" i="86" s="1"/>
  <c r="F78" i="92"/>
  <c r="F81" i="92"/>
  <c r="F82" i="92" s="1"/>
  <c r="L99" i="9"/>
  <c r="L102" i="9"/>
  <c r="L103" i="9" s="1"/>
  <c r="E31" i="25"/>
  <c r="E36" i="25" s="1"/>
  <c r="E37" i="25" s="1"/>
  <c r="H78" i="33"/>
  <c r="H81" i="33"/>
  <c r="H82" i="33" s="1"/>
  <c r="D31" i="32"/>
  <c r="D36" i="32" s="1"/>
  <c r="D37" i="32" s="1"/>
  <c r="N107" i="42"/>
  <c r="N111" i="42"/>
  <c r="E91" i="65"/>
  <c r="E94" i="65" s="1"/>
  <c r="E95" i="65" s="1"/>
  <c r="J35" i="75"/>
  <c r="J38" i="75" s="1"/>
  <c r="J39" i="75" s="1"/>
  <c r="J97" i="82"/>
  <c r="J100" i="82"/>
  <c r="J101" i="82" s="1"/>
  <c r="F79" i="78"/>
  <c r="F82" i="78"/>
  <c r="F83" i="78" s="1"/>
  <c r="F27" i="91"/>
  <c r="F30" i="91"/>
  <c r="F31" i="91" s="1"/>
  <c r="O95" i="89"/>
  <c r="O98" i="89" s="1"/>
  <c r="O99" i="89" s="1"/>
  <c r="E95" i="89"/>
  <c r="E98" i="89"/>
  <c r="E99" i="89" s="1"/>
  <c r="M91" i="65"/>
  <c r="M94" i="65" s="1"/>
  <c r="M95" i="65" s="1"/>
  <c r="D102" i="45"/>
  <c r="D105" i="45" s="1"/>
  <c r="D106" i="45" s="1"/>
  <c r="Q78" i="56"/>
  <c r="Q81" i="56" s="1"/>
  <c r="Q82" i="56" s="1"/>
  <c r="K97" i="82"/>
  <c r="K100" i="82" s="1"/>
  <c r="K101" i="82" s="1"/>
  <c r="Q88" i="24"/>
  <c r="Q91" i="24" s="1"/>
  <c r="Q92" i="24" s="1"/>
  <c r="I78" i="56"/>
  <c r="I81" i="56" s="1"/>
  <c r="I82" i="56" s="1"/>
  <c r="K77" i="70"/>
  <c r="K80" i="70" s="1"/>
  <c r="K81" i="70" s="1"/>
  <c r="O69" i="59"/>
  <c r="O72" i="59"/>
  <c r="O73" i="59" s="1"/>
  <c r="K120" i="36"/>
  <c r="K123" i="36" s="1"/>
  <c r="K124" i="36" s="1"/>
  <c r="O72" i="57"/>
  <c r="O75" i="57" s="1"/>
  <c r="O76" i="57" s="1"/>
  <c r="M112" i="67"/>
  <c r="M115" i="67" s="1"/>
  <c r="M116" i="67" s="1"/>
  <c r="N29" i="71"/>
  <c r="N32" i="71" s="1"/>
  <c r="N33" i="71" s="1"/>
  <c r="F33" i="66"/>
  <c r="F36" i="66"/>
  <c r="F37" i="66" s="1"/>
  <c r="L30" i="85"/>
  <c r="L26" i="85"/>
  <c r="H27" i="91"/>
  <c r="H30" i="91"/>
  <c r="H31" i="91" s="1"/>
  <c r="D31" i="93"/>
  <c r="D36" i="93" s="1"/>
  <c r="D37" i="93" s="1"/>
  <c r="D31" i="25"/>
  <c r="D36" i="25" s="1"/>
  <c r="D37" i="25" s="1"/>
  <c r="Q62" i="60"/>
  <c r="Q58" i="60"/>
  <c r="H111" i="67"/>
  <c r="H107" i="67"/>
  <c r="O119" i="36"/>
  <c r="O115" i="36"/>
  <c r="H27" i="54"/>
  <c r="H32" i="54"/>
  <c r="H33" i="54" s="1"/>
  <c r="H62" i="60"/>
  <c r="H58" i="60"/>
  <c r="F91" i="65"/>
  <c r="F94" i="65" s="1"/>
  <c r="F95" i="65" s="1"/>
  <c r="D29" i="71"/>
  <c r="D32" i="71"/>
  <c r="D33" i="71" s="1"/>
  <c r="F29" i="77"/>
  <c r="F32" i="77"/>
  <c r="F33" i="77" s="1"/>
  <c r="D31" i="81"/>
  <c r="D34" i="81" s="1"/>
  <c r="D35" i="81" s="1"/>
  <c r="I96" i="21"/>
  <c r="I99" i="21"/>
  <c r="I100" i="21" s="1"/>
  <c r="L78" i="48"/>
  <c r="L81" i="48" s="1"/>
  <c r="L82" i="48" s="1"/>
  <c r="D36" i="55"/>
  <c r="D39" i="55"/>
  <c r="D40" i="55" s="1"/>
  <c r="K91" i="65"/>
  <c r="K94" i="65" s="1"/>
  <c r="K95" i="65" s="1"/>
  <c r="I31" i="80"/>
  <c r="I34" i="80"/>
  <c r="I35" i="80" s="1"/>
  <c r="E29" i="77"/>
  <c r="E32" i="77"/>
  <c r="E33" i="77" s="1"/>
  <c r="L33" i="79"/>
  <c r="L36" i="79"/>
  <c r="L37" i="79" s="1"/>
  <c r="N92" i="83"/>
  <c r="N95" i="83"/>
  <c r="N96" i="83" s="1"/>
  <c r="E78" i="92"/>
  <c r="E81" i="92" s="1"/>
  <c r="E82" i="92" s="1"/>
  <c r="H172" i="3"/>
  <c r="H177" i="3" s="1"/>
  <c r="H178" i="3" s="1"/>
  <c r="G31" i="22"/>
  <c r="G36" i="22" s="1"/>
  <c r="G37" i="22" s="1"/>
  <c r="E31" i="13"/>
  <c r="E36" i="13" s="1"/>
  <c r="E37" i="13" s="1"/>
  <c r="L123" i="30"/>
  <c r="L126" i="30" s="1"/>
  <c r="L127" i="30" s="1"/>
  <c r="K63" i="60"/>
  <c r="K66" i="60"/>
  <c r="K67" i="60" s="1"/>
  <c r="E30" i="72"/>
  <c r="E33" i="72"/>
  <c r="E34" i="72" s="1"/>
  <c r="N30" i="85"/>
  <c r="N26" i="85"/>
  <c r="H38" i="86"/>
  <c r="H34" i="86"/>
  <c r="G31" i="8"/>
  <c r="G36" i="8" s="1"/>
  <c r="G37" i="8" s="1"/>
  <c r="D31" i="50"/>
  <c r="D36" i="50" s="1"/>
  <c r="D37" i="50" s="1"/>
  <c r="E42" i="64"/>
  <c r="E45" i="64" s="1"/>
  <c r="E46" i="64" s="1"/>
  <c r="E77" i="70"/>
  <c r="E80" i="70"/>
  <c r="E81" i="70" s="1"/>
  <c r="J96" i="76"/>
  <c r="J99" i="76"/>
  <c r="J100" i="76" s="1"/>
  <c r="K92" i="83"/>
  <c r="K95" i="83" s="1"/>
  <c r="K96" i="83" s="1"/>
  <c r="E34" i="80"/>
  <c r="E35" i="80" s="1"/>
  <c r="E31" i="80"/>
  <c r="N88" i="24"/>
  <c r="N91" i="24"/>
  <c r="N92" i="24" s="1"/>
  <c r="D123" i="30"/>
  <c r="D126" i="30"/>
  <c r="D127" i="30" s="1"/>
  <c r="O115" i="39"/>
  <c r="O118" i="39"/>
  <c r="O119" i="39" s="1"/>
  <c r="M123" i="30"/>
  <c r="M126" i="30" s="1"/>
  <c r="M127" i="30" s="1"/>
  <c r="D78" i="48"/>
  <c r="D81" i="48" s="1"/>
  <c r="D82" i="48" s="1"/>
  <c r="E31" i="53"/>
  <c r="E36" i="53" s="1"/>
  <c r="E37" i="53" s="1"/>
  <c r="L53" i="61"/>
  <c r="L57" i="61"/>
  <c r="D94" i="65"/>
  <c r="D95" i="65" s="1"/>
  <c r="D91" i="65"/>
  <c r="H78" i="68"/>
  <c r="H81" i="68" s="1"/>
  <c r="H82" i="68" s="1"/>
  <c r="E90" i="73"/>
  <c r="E93" i="73"/>
  <c r="E94" i="73" s="1"/>
  <c r="O97" i="82"/>
  <c r="O100" i="82"/>
  <c r="O101" i="82" s="1"/>
  <c r="D31" i="10"/>
  <c r="D36" i="10" s="1"/>
  <c r="D37" i="10" s="1"/>
  <c r="D31" i="8"/>
  <c r="D36" i="8" s="1"/>
  <c r="D37" i="8" s="1"/>
  <c r="O99" i="9"/>
  <c r="O102" i="9" s="1"/>
  <c r="O103" i="9" s="1"/>
  <c r="K150" i="15"/>
  <c r="K153" i="15"/>
  <c r="K154" i="15" s="1"/>
  <c r="O91" i="27"/>
  <c r="O94" i="27" s="1"/>
  <c r="O95" i="27" s="1"/>
  <c r="D81" i="51"/>
  <c r="D84" i="51" s="1"/>
  <c r="D85" i="51" s="1"/>
  <c r="I78" i="68"/>
  <c r="I81" i="68" s="1"/>
  <c r="I82" i="68" s="1"/>
  <c r="I78" i="48"/>
  <c r="I81" i="48"/>
  <c r="I82" i="48" s="1"/>
  <c r="J58" i="61"/>
  <c r="J61" i="61" s="1"/>
  <c r="J62" i="61" s="1"/>
  <c r="F88" i="63"/>
  <c r="F91" i="63"/>
  <c r="F92" i="63" s="1"/>
  <c r="N81" i="69"/>
  <c r="N84" i="69" s="1"/>
  <c r="N85" i="69" s="1"/>
  <c r="F24" i="71"/>
  <c r="F28" i="71"/>
  <c r="E29" i="71"/>
  <c r="E32" i="71" s="1"/>
  <c r="E33" i="71" s="1"/>
  <c r="G26" i="6"/>
  <c r="G31" i="6"/>
  <c r="G32" i="6" s="1"/>
  <c r="E31" i="14"/>
  <c r="E36" i="14" s="1"/>
  <c r="E37" i="14" s="1"/>
  <c r="I88" i="24"/>
  <c r="I91" i="24" s="1"/>
  <c r="I92" i="24" s="1"/>
  <c r="F156" i="18"/>
  <c r="F159" i="18" s="1"/>
  <c r="F160" i="18" s="1"/>
  <c r="D31" i="37"/>
  <c r="D36" i="37" s="1"/>
  <c r="D37" i="37" s="1"/>
  <c r="D31" i="38"/>
  <c r="D36" i="38" s="1"/>
  <c r="D37" i="38" s="1"/>
  <c r="G42" i="64"/>
  <c r="G45" i="64"/>
  <c r="G46" i="64" s="1"/>
  <c r="Q90" i="65"/>
  <c r="Q86" i="65"/>
  <c r="L90" i="73"/>
  <c r="L93" i="73"/>
  <c r="L94" i="73" s="1"/>
  <c r="O33" i="79"/>
  <c r="O36" i="79" s="1"/>
  <c r="O37" i="79" s="1"/>
  <c r="O96" i="88"/>
  <c r="O99" i="88"/>
  <c r="O100" i="88" s="1"/>
  <c r="G91" i="90"/>
  <c r="G95" i="90"/>
  <c r="H96" i="90"/>
  <c r="H99" i="90"/>
  <c r="H100" i="90" s="1"/>
  <c r="E31" i="10"/>
  <c r="E36" i="10" s="1"/>
  <c r="E37" i="10" s="1"/>
  <c r="M91" i="27"/>
  <c r="M94" i="27"/>
  <c r="M95" i="27" s="1"/>
  <c r="M88" i="24"/>
  <c r="M91" i="24" s="1"/>
  <c r="M92" i="24" s="1"/>
  <c r="M78" i="33"/>
  <c r="M81" i="33"/>
  <c r="M82" i="33" s="1"/>
  <c r="E31" i="50"/>
  <c r="E36" i="50" s="1"/>
  <c r="E37" i="50" s="1"/>
  <c r="J78" i="56"/>
  <c r="J81" i="56"/>
  <c r="J82" i="56" s="1"/>
  <c r="I39" i="55"/>
  <c r="I40" i="55" s="1"/>
  <c r="I36" i="55"/>
  <c r="E78" i="68"/>
  <c r="E81" i="68"/>
  <c r="E82" i="68" s="1"/>
  <c r="K29" i="71"/>
  <c r="K32" i="71"/>
  <c r="K33" i="71" s="1"/>
  <c r="G96" i="88"/>
  <c r="G99" i="88"/>
  <c r="G100" i="88" s="1"/>
  <c r="D30" i="85"/>
  <c r="D26" i="85"/>
  <c r="H99" i="9"/>
  <c r="H102" i="9" s="1"/>
  <c r="H103" i="9" s="1"/>
  <c r="E69" i="59"/>
  <c r="E72" i="59"/>
  <c r="E73" i="59" s="1"/>
  <c r="K31" i="80"/>
  <c r="K34" i="80" s="1"/>
  <c r="K35" i="80" s="1"/>
  <c r="M69" i="59"/>
  <c r="M72" i="59" s="1"/>
  <c r="M73" i="59" s="1"/>
  <c r="D104" i="62"/>
  <c r="D107" i="62" s="1"/>
  <c r="D108" i="62" s="1"/>
  <c r="K90" i="73"/>
  <c r="K93" i="73"/>
  <c r="K94" i="73" s="1"/>
  <c r="F77" i="70"/>
  <c r="F80" i="70"/>
  <c r="F81" i="70" s="1"/>
  <c r="D88" i="63"/>
  <c r="D91" i="63" s="1"/>
  <c r="D92" i="63" s="1"/>
  <c r="J95" i="89"/>
  <c r="J98" i="89"/>
  <c r="J99" i="89" s="1"/>
  <c r="E115" i="39"/>
  <c r="E118" i="39" s="1"/>
  <c r="E119" i="39" s="1"/>
  <c r="Q27" i="54"/>
  <c r="Q32" i="54" s="1"/>
  <c r="Q33" i="54" s="1"/>
  <c r="J81" i="69"/>
  <c r="J84" i="69" s="1"/>
  <c r="J85" i="69" s="1"/>
  <c r="F26" i="85"/>
  <c r="F30" i="85"/>
  <c r="F64" i="87"/>
  <c r="F67" i="87"/>
  <c r="F68" i="87" s="1"/>
  <c r="G172" i="3"/>
  <c r="G177" i="3"/>
  <c r="G178" i="3" s="1"/>
  <c r="D123" i="36"/>
  <c r="D124" i="36" s="1"/>
  <c r="D120" i="36"/>
  <c r="N88" i="63"/>
  <c r="N91" i="63"/>
  <c r="N92" i="63" s="1"/>
  <c r="M31" i="85"/>
  <c r="M34" i="85"/>
  <c r="M35" i="85" s="1"/>
  <c r="J156" i="18"/>
  <c r="J159" i="18" s="1"/>
  <c r="J160" i="18" s="1"/>
  <c r="G31" i="49"/>
  <c r="G36" i="49" s="1"/>
  <c r="G37" i="49" s="1"/>
  <c r="I28" i="71"/>
  <c r="I24" i="71"/>
  <c r="L150" i="15"/>
  <c r="L153" i="15"/>
  <c r="L154" i="15" s="1"/>
  <c r="G31" i="52"/>
  <c r="G36" i="52" s="1"/>
  <c r="G37" i="52" s="1"/>
  <c r="Q32" i="79"/>
  <c r="Q28" i="79"/>
  <c r="E81" i="51"/>
  <c r="E84" i="51" s="1"/>
  <c r="E85" i="51" s="1"/>
  <c r="F90" i="73"/>
  <c r="F93" i="73"/>
  <c r="F94" i="73" s="1"/>
  <c r="Q171" i="3"/>
  <c r="Q167" i="3"/>
  <c r="E26" i="32"/>
  <c r="E30" i="32"/>
  <c r="I122" i="30"/>
  <c r="I118" i="30"/>
  <c r="I79" i="58"/>
  <c r="I82" i="58" s="1"/>
  <c r="I83" i="58" s="1"/>
  <c r="G31" i="53"/>
  <c r="G36" i="53" s="1"/>
  <c r="G37" i="53" s="1"/>
  <c r="M78" i="56"/>
  <c r="M81" i="56" s="1"/>
  <c r="M82" i="56" s="1"/>
  <c r="L104" i="62"/>
  <c r="L107" i="62" s="1"/>
  <c r="L108" i="62" s="1"/>
  <c r="H31" i="85"/>
  <c r="H34" i="85"/>
  <c r="H35" i="85" s="1"/>
  <c r="D79" i="78"/>
  <c r="D82" i="78"/>
  <c r="D83" i="78" s="1"/>
  <c r="E31" i="19"/>
  <c r="E36" i="19" s="1"/>
  <c r="E37" i="19" s="1"/>
  <c r="J35" i="55"/>
  <c r="J31" i="55"/>
  <c r="M32" i="66"/>
  <c r="M28" i="66"/>
  <c r="D96" i="21"/>
  <c r="D99" i="21" s="1"/>
  <c r="D100" i="21" s="1"/>
  <c r="H115" i="42"/>
  <c r="H116" i="42" s="1"/>
  <c r="H112" i="42"/>
  <c r="G72" i="57"/>
  <c r="G75" i="57" s="1"/>
  <c r="G76" i="57" s="1"/>
  <c r="N78" i="56"/>
  <c r="N81" i="56"/>
  <c r="N82" i="56" s="1"/>
  <c r="Q74" i="58"/>
  <c r="Q78" i="58"/>
  <c r="O36" i="66"/>
  <c r="O37" i="66" s="1"/>
  <c r="O33" i="66"/>
  <c r="O30" i="72"/>
  <c r="O33" i="72" s="1"/>
  <c r="O34" i="72" s="1"/>
  <c r="K35" i="75"/>
  <c r="K38" i="75" s="1"/>
  <c r="K39" i="75" s="1"/>
  <c r="Q29" i="77"/>
  <c r="Q32" i="77" s="1"/>
  <c r="Q33" i="77" s="1"/>
  <c r="G92" i="83"/>
  <c r="G95" i="83" s="1"/>
  <c r="G96" i="83" s="1"/>
  <c r="G53" i="84"/>
  <c r="G56" i="84" s="1"/>
  <c r="G57" i="84" s="1"/>
  <c r="N96" i="90"/>
  <c r="N99" i="90" s="1"/>
  <c r="N100" i="90" s="1"/>
  <c r="H78" i="92"/>
  <c r="H81" i="92"/>
  <c r="H82" i="92" s="1"/>
  <c r="E172" i="3"/>
  <c r="E177" i="3" s="1"/>
  <c r="E178" i="3" s="1"/>
  <c r="I110" i="39"/>
  <c r="I114" i="39"/>
  <c r="F119" i="36"/>
  <c r="F115" i="36"/>
  <c r="J45" i="64"/>
  <c r="J46" i="64" s="1"/>
  <c r="J42" i="64"/>
  <c r="M29" i="71"/>
  <c r="M32" i="71"/>
  <c r="M33" i="71" s="1"/>
  <c r="H31" i="80"/>
  <c r="H34" i="80" s="1"/>
  <c r="H35" i="80" s="1"/>
  <c r="M33" i="79"/>
  <c r="M36" i="79" s="1"/>
  <c r="M37" i="79" s="1"/>
  <c r="M100" i="82"/>
  <c r="M101" i="82" s="1"/>
  <c r="M97" i="82"/>
  <c r="G29" i="77"/>
  <c r="G32" i="77"/>
  <c r="G33" i="77" s="1"/>
  <c r="F123" i="30"/>
  <c r="F126" i="30" s="1"/>
  <c r="F127" i="30" s="1"/>
  <c r="G95" i="89"/>
  <c r="G98" i="89" s="1"/>
  <c r="G99" i="89" s="1"/>
  <c r="D72" i="57"/>
  <c r="D75" i="57" s="1"/>
  <c r="D76" i="57" s="1"/>
  <c r="K96" i="76"/>
  <c r="K99" i="76"/>
  <c r="K100" i="76" s="1"/>
  <c r="Q27" i="91"/>
  <c r="Q30" i="91"/>
  <c r="Q31" i="91" s="1"/>
  <c r="E157" i="12"/>
  <c r="E160" i="12"/>
  <c r="E161" i="12" s="1"/>
  <c r="D150" i="15"/>
  <c r="D153" i="15" s="1"/>
  <c r="D154" i="15" s="1"/>
  <c r="K72" i="57"/>
  <c r="K75" i="57"/>
  <c r="K76" i="57" s="1"/>
  <c r="Q104" i="62"/>
  <c r="Q107" i="62"/>
  <c r="Q108" i="62" s="1"/>
  <c r="D156" i="18"/>
  <c r="D159" i="18" s="1"/>
  <c r="D160" i="18" s="1"/>
  <c r="J72" i="57"/>
  <c r="J75" i="57" s="1"/>
  <c r="J76" i="57" s="1"/>
  <c r="Q29" i="71"/>
  <c r="Q32" i="71" s="1"/>
  <c r="Q33" i="71" s="1"/>
  <c r="D167" i="3"/>
  <c r="D171" i="3"/>
  <c r="I120" i="36"/>
  <c r="I123" i="36"/>
  <c r="I124" i="36" s="1"/>
  <c r="J81" i="33"/>
  <c r="J82" i="33" s="1"/>
  <c r="J78" i="33"/>
  <c r="N156" i="18"/>
  <c r="N159" i="18"/>
  <c r="N160" i="18" s="1"/>
  <c r="Q92" i="82"/>
  <c r="Q96" i="82"/>
  <c r="Q85" i="27"/>
  <c r="Q30" i="27"/>
  <c r="Q106" i="67"/>
  <c r="Q39" i="67"/>
  <c r="G31" i="81"/>
  <c r="G34" i="81" s="1"/>
  <c r="G35" i="81" s="1"/>
  <c r="K172" i="3"/>
  <c r="K177" i="3"/>
  <c r="K178" i="3" s="1"/>
  <c r="E31" i="28"/>
  <c r="E36" i="28" s="1"/>
  <c r="E37" i="28" s="1"/>
  <c r="Q73" i="33"/>
  <c r="Q77" i="33"/>
  <c r="F101" i="45"/>
  <c r="F97" i="45"/>
  <c r="E31" i="29"/>
  <c r="E36" i="29" s="1"/>
  <c r="E37" i="29" s="1"/>
  <c r="L102" i="45"/>
  <c r="L105" i="45" s="1"/>
  <c r="L106" i="45" s="1"/>
  <c r="J63" i="60"/>
  <c r="J66" i="60" s="1"/>
  <c r="J67" i="60" s="1"/>
  <c r="J94" i="74"/>
  <c r="J97" i="74"/>
  <c r="J98" i="74" s="1"/>
  <c r="N33" i="79"/>
  <c r="N36" i="79"/>
  <c r="N37" i="79" s="1"/>
  <c r="D33" i="79"/>
  <c r="D36" i="79"/>
  <c r="D37" i="79" s="1"/>
  <c r="N97" i="82"/>
  <c r="N100" i="82" s="1"/>
  <c r="N101" i="82" s="1"/>
  <c r="H91" i="88"/>
  <c r="H95" i="88"/>
  <c r="F99" i="9"/>
  <c r="F102" i="9" s="1"/>
  <c r="F103" i="9" s="1"/>
  <c r="O26" i="6"/>
  <c r="O31" i="6"/>
  <c r="O32" i="6" s="1"/>
  <c r="M99" i="21"/>
  <c r="M100" i="21" s="1"/>
  <c r="M96" i="21"/>
  <c r="L69" i="59"/>
  <c r="L72" i="59"/>
  <c r="L73" i="59" s="1"/>
  <c r="G76" i="69"/>
  <c r="G80" i="69"/>
  <c r="O79" i="78"/>
  <c r="O82" i="78" s="1"/>
  <c r="O83" i="78" s="1"/>
  <c r="M90" i="89"/>
  <c r="M94" i="89"/>
  <c r="G31" i="26"/>
  <c r="G36" i="26" s="1"/>
  <c r="G37" i="26" s="1"/>
  <c r="H102" i="45"/>
  <c r="H105" i="45"/>
  <c r="H106" i="45" s="1"/>
  <c r="N36" i="55"/>
  <c r="N39" i="55" s="1"/>
  <c r="N40" i="55" s="1"/>
  <c r="J27" i="54"/>
  <c r="J32" i="54" s="1"/>
  <c r="J33" i="54" s="1"/>
  <c r="H30" i="72"/>
  <c r="H33" i="72" s="1"/>
  <c r="H34" i="72" s="1"/>
  <c r="N78" i="68"/>
  <c r="N81" i="68"/>
  <c r="N82" i="68" s="1"/>
  <c r="Q90" i="76"/>
  <c r="Q22" i="76"/>
  <c r="N79" i="78"/>
  <c r="N82" i="78" s="1"/>
  <c r="N83" i="78" s="1"/>
  <c r="F97" i="82"/>
  <c r="F100" i="82"/>
  <c r="F101" i="82" s="1"/>
  <c r="J59" i="87"/>
  <c r="J63" i="87"/>
  <c r="Q109" i="39"/>
  <c r="Q24" i="39"/>
  <c r="M78" i="48"/>
  <c r="M81" i="48" s="1"/>
  <c r="M82" i="48" s="1"/>
  <c r="E72" i="57"/>
  <c r="E75" i="57" s="1"/>
  <c r="E76" i="57" s="1"/>
  <c r="H96" i="76"/>
  <c r="H99" i="76"/>
  <c r="H100" i="76" s="1"/>
  <c r="H94" i="74"/>
  <c r="H97" i="74"/>
  <c r="H98" i="74" s="1"/>
  <c r="N31" i="81"/>
  <c r="N34" i="81" s="1"/>
  <c r="N35" i="81" s="1"/>
  <c r="I31" i="81"/>
  <c r="I34" i="81" s="1"/>
  <c r="I35" i="81" s="1"/>
  <c r="D27" i="91"/>
  <c r="D30" i="91"/>
  <c r="D31" i="91" s="1"/>
  <c r="D31" i="19"/>
  <c r="D36" i="19" s="1"/>
  <c r="D37" i="19" s="1"/>
  <c r="N99" i="21"/>
  <c r="N100" i="21" s="1"/>
  <c r="N96" i="21"/>
  <c r="D115" i="39"/>
  <c r="D118" i="39" s="1"/>
  <c r="D119" i="39" s="1"/>
  <c r="L112" i="42"/>
  <c r="L115" i="42"/>
  <c r="L116" i="42" s="1"/>
  <c r="M78" i="58"/>
  <c r="M74" i="58"/>
  <c r="I91" i="65"/>
  <c r="I94" i="65" s="1"/>
  <c r="I95" i="65" s="1"/>
  <c r="E53" i="84"/>
  <c r="E56" i="84" s="1"/>
  <c r="E57" i="84" s="1"/>
  <c r="O31" i="85"/>
  <c r="O34" i="85"/>
  <c r="O35" i="85" s="1"/>
  <c r="L96" i="88"/>
  <c r="L99" i="88" s="1"/>
  <c r="L100" i="88" s="1"/>
  <c r="K159" i="18"/>
  <c r="K160" i="18" s="1"/>
  <c r="K156" i="18"/>
  <c r="F78" i="56"/>
  <c r="F81" i="56"/>
  <c r="F82" i="56" s="1"/>
  <c r="J112" i="67"/>
  <c r="J115" i="67"/>
  <c r="J116" i="67" s="1"/>
  <c r="Q25" i="72"/>
  <c r="Q29" i="72"/>
  <c r="E92" i="82"/>
  <c r="E96" i="82"/>
  <c r="F39" i="86"/>
  <c r="F42" i="86"/>
  <c r="F43" i="86" s="1"/>
  <c r="D90" i="89"/>
  <c r="D94" i="89"/>
  <c r="L26" i="6"/>
  <c r="L31" i="6"/>
  <c r="L32" i="6" s="1"/>
  <c r="Q53" i="12"/>
  <c r="Q151" i="12"/>
  <c r="I111" i="42"/>
  <c r="I107" i="42"/>
  <c r="D31" i="46"/>
  <c r="D36" i="46" s="1"/>
  <c r="D37" i="46" s="1"/>
  <c r="I69" i="59"/>
  <c r="I72" i="59" s="1"/>
  <c r="I73" i="59" s="1"/>
  <c r="F81" i="69"/>
  <c r="F84" i="69" s="1"/>
  <c r="F85" i="69" s="1"/>
  <c r="D112" i="67"/>
  <c r="D115" i="67" s="1"/>
  <c r="D116" i="67" s="1"/>
  <c r="G76" i="70"/>
  <c r="G72" i="70"/>
  <c r="N90" i="73"/>
  <c r="N93" i="73"/>
  <c r="N94" i="73" s="1"/>
  <c r="G89" i="74"/>
  <c r="G93" i="74"/>
  <c r="O150" i="15"/>
  <c r="O153" i="15" s="1"/>
  <c r="O154" i="15" s="1"/>
  <c r="G31" i="20"/>
  <c r="G36" i="20" s="1"/>
  <c r="G37" i="20" s="1"/>
  <c r="G26" i="31"/>
  <c r="G30" i="31"/>
  <c r="H115" i="36"/>
  <c r="H119" i="36"/>
  <c r="E31" i="47"/>
  <c r="E36" i="47" s="1"/>
  <c r="E37" i="47" s="1"/>
  <c r="J33" i="66"/>
  <c r="J36" i="66" s="1"/>
  <c r="J37" i="66" s="1"/>
  <c r="E31" i="85"/>
  <c r="E34" i="85"/>
  <c r="E35" i="85" s="1"/>
  <c r="N64" i="87"/>
  <c r="N67" i="87" s="1"/>
  <c r="N68" i="87" s="1"/>
  <c r="M78" i="92"/>
  <c r="M81" i="92"/>
  <c r="M82" i="92" s="1"/>
  <c r="K157" i="12"/>
  <c r="K160" i="12" s="1"/>
  <c r="K161" i="12" s="1"/>
  <c r="E31" i="23"/>
  <c r="E36" i="23" s="1"/>
  <c r="E37" i="23" s="1"/>
  <c r="D69" i="59"/>
  <c r="D72" i="59" s="1"/>
  <c r="D73" i="59" s="1"/>
  <c r="D31" i="53"/>
  <c r="D36" i="53" s="1"/>
  <c r="D37" i="53" s="1"/>
  <c r="I104" i="62"/>
  <c r="I107" i="62" s="1"/>
  <c r="I108" i="62" s="1"/>
  <c r="I96" i="76"/>
  <c r="I99" i="76"/>
  <c r="I100" i="76" s="1"/>
  <c r="F31" i="80"/>
  <c r="F34" i="80" s="1"/>
  <c r="F35" i="80" s="1"/>
  <c r="D92" i="83"/>
  <c r="D95" i="83"/>
  <c r="D96" i="83" s="1"/>
  <c r="E104" i="62"/>
  <c r="E107" i="62"/>
  <c r="E108" i="62" s="1"/>
  <c r="Q36" i="55"/>
  <c r="Q39" i="55"/>
  <c r="Q40" i="55" s="1"/>
  <c r="L79" i="78"/>
  <c r="L82" i="78" s="1"/>
  <c r="L83" i="78" s="1"/>
  <c r="H72" i="57"/>
  <c r="H75" i="57"/>
  <c r="H76" i="57" s="1"/>
  <c r="N77" i="70"/>
  <c r="N80" i="70"/>
  <c r="N81" i="70" s="1"/>
  <c r="E156" i="18"/>
  <c r="E159" i="18" s="1"/>
  <c r="E160" i="18" s="1"/>
  <c r="N120" i="36"/>
  <c r="N123" i="36" s="1"/>
  <c r="N124" i="36" s="1"/>
  <c r="L79" i="58"/>
  <c r="L82" i="58"/>
  <c r="L83" i="58" s="1"/>
  <c r="K78" i="56"/>
  <c r="K81" i="56"/>
  <c r="K82" i="56" s="1"/>
  <c r="H88" i="24"/>
  <c r="H91" i="24" s="1"/>
  <c r="H92" i="24" s="1"/>
  <c r="D89" i="74"/>
  <c r="D93" i="74"/>
  <c r="F33" i="79"/>
  <c r="F36" i="79"/>
  <c r="F37" i="79" s="1"/>
  <c r="D90" i="73"/>
  <c r="D93" i="73"/>
  <c r="D94" i="73" s="1"/>
  <c r="H95" i="89"/>
  <c r="H98" i="89" s="1"/>
  <c r="H99" i="89" s="1"/>
  <c r="J110" i="39"/>
  <c r="J114" i="39"/>
  <c r="I156" i="18"/>
  <c r="I159" i="18"/>
  <c r="I160" i="18" s="1"/>
  <c r="F86" i="27"/>
  <c r="F90" i="27"/>
  <c r="N33" i="66"/>
  <c r="N36" i="66"/>
  <c r="N37" i="66" s="1"/>
  <c r="D53" i="84"/>
  <c r="D56" i="84" s="1"/>
  <c r="D57" i="84" s="1"/>
  <c r="I39" i="86"/>
  <c r="I42" i="86"/>
  <c r="I43" i="86" s="1"/>
  <c r="D27" i="54"/>
  <c r="D32" i="54"/>
  <c r="D33" i="54" s="1"/>
  <c r="E31" i="22"/>
  <c r="E36" i="22" s="1"/>
  <c r="E37" i="22" s="1"/>
  <c r="O96" i="21"/>
  <c r="O99" i="21" s="1"/>
  <c r="O100" i="21" s="1"/>
  <c r="E123" i="30"/>
  <c r="E126" i="30"/>
  <c r="E127" i="30" s="1"/>
  <c r="J120" i="36"/>
  <c r="J123" i="36" s="1"/>
  <c r="J124" i="36" s="1"/>
  <c r="G69" i="59"/>
  <c r="G72" i="59"/>
  <c r="G73" i="59" s="1"/>
  <c r="J95" i="83"/>
  <c r="J96" i="83" s="1"/>
  <c r="J92" i="83"/>
  <c r="F31" i="81"/>
  <c r="F34" i="81"/>
  <c r="F35" i="81" s="1"/>
  <c r="K31" i="81"/>
  <c r="K34" i="81" s="1"/>
  <c r="K35" i="81" s="1"/>
  <c r="N95" i="89"/>
  <c r="N98" i="89"/>
  <c r="N99" i="89" s="1"/>
  <c r="L95" i="89"/>
  <c r="L98" i="89" s="1"/>
  <c r="L99" i="89" s="1"/>
  <c r="O78" i="92"/>
  <c r="O81" i="92"/>
  <c r="O82" i="92" s="1"/>
  <c r="H29" i="77"/>
  <c r="H32" i="77" s="1"/>
  <c r="H33" i="77" s="1"/>
  <c r="G31" i="11"/>
  <c r="G36" i="11" s="1"/>
  <c r="G37" i="11" s="1"/>
  <c r="D31" i="13"/>
  <c r="D36" i="13" s="1"/>
  <c r="D37" i="13" s="1"/>
  <c r="D31" i="17"/>
  <c r="D36" i="17" s="1"/>
  <c r="D37" i="17" s="1"/>
  <c r="E31" i="34"/>
  <c r="E36" i="34" s="1"/>
  <c r="E37" i="34" s="1"/>
  <c r="G102" i="45"/>
  <c r="G105" i="45"/>
  <c r="G106" i="45" s="1"/>
  <c r="Q29" i="75"/>
  <c r="Q21" i="75"/>
  <c r="H64" i="87"/>
  <c r="H67" i="87"/>
  <c r="H68" i="87" s="1"/>
  <c r="I95" i="90"/>
  <c r="I91" i="90"/>
  <c r="E26" i="91"/>
  <c r="E22" i="91"/>
  <c r="D99" i="88"/>
  <c r="D100" i="88" s="1"/>
  <c r="D96" i="88"/>
  <c r="N99" i="9"/>
  <c r="N102" i="9" s="1"/>
  <c r="N103" i="9" s="1"/>
  <c r="G157" i="12"/>
  <c r="G160" i="12"/>
  <c r="G161" i="12" s="1"/>
  <c r="L96" i="21"/>
  <c r="L99" i="21" s="1"/>
  <c r="L100" i="21" s="1"/>
  <c r="L77" i="33"/>
  <c r="L73" i="33"/>
  <c r="G31" i="37"/>
  <c r="G36" i="37" s="1"/>
  <c r="G37" i="37" s="1"/>
  <c r="F72" i="57"/>
  <c r="F75" i="57" s="1"/>
  <c r="F76" i="57" s="1"/>
  <c r="J78" i="48"/>
  <c r="J81" i="48" s="1"/>
  <c r="J82" i="48" s="1"/>
  <c r="H78" i="48"/>
  <c r="H81" i="48" s="1"/>
  <c r="H82" i="48" s="1"/>
  <c r="G111" i="67"/>
  <c r="G107" i="67"/>
  <c r="G88" i="63"/>
  <c r="G91" i="63" s="1"/>
  <c r="G92" i="63" s="1"/>
  <c r="M90" i="73"/>
  <c r="M93" i="73"/>
  <c r="M94" i="73" s="1"/>
  <c r="K67" i="87"/>
  <c r="K68" i="87" s="1"/>
  <c r="K64" i="87"/>
  <c r="E96" i="90"/>
  <c r="E99" i="90" s="1"/>
  <c r="E100" i="90" s="1"/>
  <c r="L120" i="36"/>
  <c r="L123" i="36" s="1"/>
  <c r="L124" i="36" s="1"/>
  <c r="H157" i="12"/>
  <c r="H160" i="12" s="1"/>
  <c r="H161" i="12" s="1"/>
  <c r="E112" i="42"/>
  <c r="E115" i="42" s="1"/>
  <c r="E116" i="42" s="1"/>
  <c r="J81" i="51"/>
  <c r="J84" i="51"/>
  <c r="J85" i="51" s="1"/>
  <c r="K73" i="48"/>
  <c r="K77" i="48"/>
  <c r="L77" i="70"/>
  <c r="L80" i="70" s="1"/>
  <c r="L81" i="70" s="1"/>
  <c r="I35" i="75"/>
  <c r="I38" i="75" s="1"/>
  <c r="I39" i="75" s="1"/>
  <c r="H35" i="75"/>
  <c r="H38" i="75"/>
  <c r="H39" i="75" s="1"/>
  <c r="J48" i="84"/>
  <c r="J52" i="84"/>
  <c r="M26" i="91"/>
  <c r="M22" i="91"/>
  <c r="E92" i="83"/>
  <c r="E95" i="83" s="1"/>
  <c r="E96" i="83" s="1"/>
  <c r="D31" i="5"/>
  <c r="D36" i="5" s="1"/>
  <c r="D37" i="5" s="1"/>
  <c r="E150" i="15"/>
  <c r="E153" i="15"/>
  <c r="E154" i="15" s="1"/>
  <c r="D31" i="23"/>
  <c r="D36" i="23" s="1"/>
  <c r="D37" i="23" s="1"/>
  <c r="H156" i="18"/>
  <c r="H159" i="18" s="1"/>
  <c r="H160" i="18" s="1"/>
  <c r="E31" i="37"/>
  <c r="E36" i="37" s="1"/>
  <c r="E37" i="37" s="1"/>
  <c r="I102" i="45"/>
  <c r="I105" i="45"/>
  <c r="I106" i="45" s="1"/>
  <c r="E120" i="36"/>
  <c r="E123" i="36"/>
  <c r="E124" i="36" s="1"/>
  <c r="F58" i="61"/>
  <c r="F61" i="61" s="1"/>
  <c r="F62" i="61" s="1"/>
  <c r="Q53" i="61"/>
  <c r="Q57" i="61"/>
  <c r="E32" i="66"/>
  <c r="E28" i="66"/>
  <c r="N96" i="76"/>
  <c r="N99" i="76" s="1"/>
  <c r="N100" i="76" s="1"/>
  <c r="Q34" i="81"/>
  <c r="Q35" i="81" s="1"/>
  <c r="Q31" i="81"/>
  <c r="H26" i="6"/>
  <c r="H31" i="6"/>
  <c r="H32" i="6" s="1"/>
  <c r="F150" i="15"/>
  <c r="F153" i="15"/>
  <c r="F154" i="15" s="1"/>
  <c r="D77" i="33"/>
  <c r="D73" i="33"/>
  <c r="D91" i="27"/>
  <c r="D94" i="27" s="1"/>
  <c r="D95" i="27" s="1"/>
  <c r="H36" i="55"/>
  <c r="H39" i="55"/>
  <c r="H40" i="55" s="1"/>
  <c r="N102" i="45"/>
  <c r="N105" i="45" s="1"/>
  <c r="N106" i="45" s="1"/>
  <c r="H91" i="65"/>
  <c r="H94" i="65"/>
  <c r="H95" i="65" s="1"/>
  <c r="I99" i="9"/>
  <c r="I102" i="9" s="1"/>
  <c r="I103" i="9" s="1"/>
  <c r="F156" i="12"/>
  <c r="F152" i="12"/>
  <c r="E96" i="21"/>
  <c r="E99" i="21" s="1"/>
  <c r="E100" i="21" s="1"/>
  <c r="H118" i="30"/>
  <c r="H122" i="30"/>
  <c r="K112" i="42"/>
  <c r="K115" i="42" s="1"/>
  <c r="K116" i="42" s="1"/>
  <c r="M36" i="55"/>
  <c r="M39" i="55" s="1"/>
  <c r="M40" i="55" s="1"/>
  <c r="O58" i="61"/>
  <c r="O61" i="61"/>
  <c r="O62" i="61" s="1"/>
  <c r="D81" i="69"/>
  <c r="D84" i="69"/>
  <c r="D85" i="69" s="1"/>
  <c r="L34" i="80"/>
  <c r="L35" i="80" s="1"/>
  <c r="L31" i="80"/>
  <c r="Q31" i="85"/>
  <c r="Q34" i="85"/>
  <c r="Q35" i="85" s="1"/>
  <c r="E31" i="95"/>
  <c r="E36" i="95" s="1"/>
  <c r="E37" i="95" s="1"/>
  <c r="F92" i="83"/>
  <c r="F95" i="83"/>
  <c r="F96" i="83" s="1"/>
  <c r="N78" i="92"/>
  <c r="N81" i="92" s="1"/>
  <c r="N82" i="92" s="1"/>
  <c r="G99" i="9"/>
  <c r="G102" i="9" s="1"/>
  <c r="G103" i="9" s="1"/>
  <c r="N150" i="15"/>
  <c r="N153" i="15"/>
  <c r="N154" i="15" s="1"/>
  <c r="F107" i="42"/>
  <c r="F111" i="42"/>
  <c r="K105" i="45"/>
  <c r="K106" i="45" s="1"/>
  <c r="K102" i="45"/>
  <c r="H42" i="64"/>
  <c r="H45" i="64"/>
  <c r="H46" i="64" s="1"/>
  <c r="Q71" i="57"/>
  <c r="Q67" i="57"/>
  <c r="O77" i="70"/>
  <c r="O80" i="70" s="1"/>
  <c r="O81" i="70" s="1"/>
  <c r="J33" i="72"/>
  <c r="J34" i="72" s="1"/>
  <c r="J30" i="72"/>
  <c r="I90" i="73"/>
  <c r="I93" i="73" s="1"/>
  <c r="I94" i="73" s="1"/>
  <c r="K31" i="85"/>
  <c r="K34" i="85" s="1"/>
  <c r="K35" i="85" s="1"/>
  <c r="G112" i="42"/>
  <c r="G115" i="42" s="1"/>
  <c r="G116" i="42" s="1"/>
  <c r="L72" i="57"/>
  <c r="L75" i="57" s="1"/>
  <c r="L76" i="57" s="1"/>
  <c r="G78" i="68"/>
  <c r="G81" i="68" s="1"/>
  <c r="G82" i="68" s="1"/>
  <c r="L96" i="76"/>
  <c r="L99" i="76" s="1"/>
  <c r="L100" i="76" s="1"/>
  <c r="L96" i="90"/>
  <c r="L99" i="90"/>
  <c r="L100" i="90" s="1"/>
  <c r="O81" i="68"/>
  <c r="O82" i="68" s="1"/>
  <c r="O78" i="68"/>
  <c r="Q155" i="18"/>
  <c r="Q151" i="18"/>
  <c r="K94" i="74"/>
  <c r="K97" i="74"/>
  <c r="K98" i="74" s="1"/>
  <c r="I91" i="27"/>
  <c r="I94" i="27" s="1"/>
  <c r="I95" i="27" s="1"/>
  <c r="G81" i="56"/>
  <c r="G82" i="56" s="1"/>
  <c r="G78" i="56"/>
  <c r="E36" i="55"/>
  <c r="E39" i="55" s="1"/>
  <c r="E40" i="55" s="1"/>
  <c r="K58" i="61"/>
  <c r="K61" i="61" s="1"/>
  <c r="K62" i="61" s="1"/>
  <c r="G78" i="33"/>
  <c r="G81" i="33"/>
  <c r="G82" i="33" s="1"/>
  <c r="L87" i="24"/>
  <c r="L83" i="24"/>
  <c r="F63" i="60"/>
  <c r="F66" i="60" s="1"/>
  <c r="F67" i="60" s="1"/>
  <c r="K104" i="62"/>
  <c r="K107" i="62" s="1"/>
  <c r="K108" i="62" s="1"/>
  <c r="D32" i="66"/>
  <c r="D28" i="66"/>
  <c r="Q85" i="73"/>
  <c r="Q89" i="73"/>
  <c r="O53" i="84"/>
  <c r="O56" i="84" s="1"/>
  <c r="O57" i="84" s="1"/>
  <c r="M39" i="86"/>
  <c r="M42" i="86" s="1"/>
  <c r="M43" i="86" s="1"/>
  <c r="K78" i="92"/>
  <c r="K81" i="92" s="1"/>
  <c r="K82" i="92" s="1"/>
  <c r="Q78" i="78"/>
  <c r="Q74" i="78"/>
  <c r="E31" i="93"/>
  <c r="E36" i="93" s="1"/>
  <c r="E37" i="93" s="1"/>
  <c r="L36" i="55"/>
  <c r="L39" i="55"/>
  <c r="L40" i="55" s="1"/>
  <c r="N172" i="3"/>
  <c r="N177" i="3"/>
  <c r="N178" i="3" s="1"/>
  <c r="O88" i="24"/>
  <c r="O91" i="24" s="1"/>
  <c r="O92" i="24" s="1"/>
  <c r="M157" i="12"/>
  <c r="M160" i="12"/>
  <c r="M161" i="12" s="1"/>
  <c r="K115" i="39"/>
  <c r="K118" i="39"/>
  <c r="K119" i="39" s="1"/>
  <c r="G58" i="61"/>
  <c r="G61" i="61" s="1"/>
  <c r="G62" i="61" s="1"/>
  <c r="L78" i="68"/>
  <c r="L81" i="68"/>
  <c r="L82" i="68" s="1"/>
  <c r="N81" i="51"/>
  <c r="N84" i="51" s="1"/>
  <c r="N85" i="51" s="1"/>
  <c r="M104" i="62"/>
  <c r="M107" i="62"/>
  <c r="M108" i="62" s="1"/>
  <c r="J29" i="71"/>
  <c r="J32" i="71" s="1"/>
  <c r="J33" i="71" s="1"/>
  <c r="L42" i="64"/>
  <c r="L45" i="64" s="1"/>
  <c r="L46" i="64" s="1"/>
  <c r="I92" i="83"/>
  <c r="I95" i="83" s="1"/>
  <c r="I96" i="83" s="1"/>
  <c r="O64" i="87"/>
  <c r="O67" i="87"/>
  <c r="O68" i="87" s="1"/>
  <c r="O115" i="42"/>
  <c r="O116" i="42" s="1"/>
  <c r="O112" i="42"/>
  <c r="F115" i="39"/>
  <c r="F118" i="39"/>
  <c r="F119" i="39" s="1"/>
  <c r="O36" i="55"/>
  <c r="O39" i="55" s="1"/>
  <c r="O40" i="55" s="1"/>
  <c r="I30" i="72"/>
  <c r="I33" i="72" s="1"/>
  <c r="I34" i="72" s="1"/>
  <c r="E97" i="74"/>
  <c r="E98" i="74" s="1"/>
  <c r="E94" i="74"/>
  <c r="F91" i="76"/>
  <c r="F95" i="76"/>
  <c r="Q23" i="74"/>
  <c r="Q88" i="74"/>
  <c r="K79" i="78"/>
  <c r="K82" i="78" s="1"/>
  <c r="K83" i="78" s="1"/>
  <c r="O31" i="80"/>
  <c r="O34" i="80" s="1"/>
  <c r="O35" i="80" s="1"/>
  <c r="N39" i="86"/>
  <c r="N42" i="86"/>
  <c r="N43" i="86" s="1"/>
  <c r="I152" i="12"/>
  <c r="I156" i="12"/>
  <c r="G31" i="34"/>
  <c r="G36" i="34" s="1"/>
  <c r="G37" i="34" s="1"/>
  <c r="E90" i="27"/>
  <c r="E86" i="27"/>
  <c r="M63" i="60"/>
  <c r="M66" i="60" s="1"/>
  <c r="M67" i="60" s="1"/>
  <c r="J91" i="65"/>
  <c r="J94" i="65"/>
  <c r="J95" i="65" s="1"/>
  <c r="F30" i="72"/>
  <c r="F33" i="72"/>
  <c r="F34" i="72" s="1"/>
  <c r="N29" i="77"/>
  <c r="N32" i="77" s="1"/>
  <c r="N33" i="77" s="1"/>
  <c r="J31" i="80"/>
  <c r="J34" i="80"/>
  <c r="J35" i="80" s="1"/>
  <c r="I53" i="84"/>
  <c r="I56" i="84"/>
  <c r="I57" i="84" s="1"/>
  <c r="N96" i="88"/>
  <c r="N99" i="88"/>
  <c r="N100" i="88" s="1"/>
  <c r="O177" i="3"/>
  <c r="O178" i="3" s="1"/>
  <c r="O172" i="3"/>
  <c r="E31" i="8"/>
  <c r="E36" i="8" s="1"/>
  <c r="E37" i="8" s="1"/>
  <c r="O102" i="45"/>
  <c r="O105" i="45"/>
  <c r="O106" i="45" s="1"/>
  <c r="E30" i="46"/>
  <c r="E26" i="46"/>
  <c r="D53" i="61"/>
  <c r="D57" i="61"/>
  <c r="K81" i="69"/>
  <c r="K84" i="69" s="1"/>
  <c r="K85" i="69" s="1"/>
  <c r="M29" i="77"/>
  <c r="M32" i="77"/>
  <c r="M33" i="77" s="1"/>
  <c r="H31" i="81"/>
  <c r="H34" i="81"/>
  <c r="H35" i="81" s="1"/>
  <c r="J34" i="85"/>
  <c r="J35" i="85" s="1"/>
  <c r="J31" i="85"/>
  <c r="M96" i="88"/>
  <c r="M99" i="88" s="1"/>
  <c r="M100" i="88" s="1"/>
  <c r="Q22" i="89"/>
  <c r="Q89" i="89"/>
  <c r="J33" i="79"/>
  <c r="J36" i="79"/>
  <c r="J37" i="79" s="1"/>
  <c r="F56" i="84"/>
  <c r="F57" i="84" s="1"/>
  <c r="F53" i="84"/>
  <c r="G31" i="16"/>
  <c r="G36" i="16" s="1"/>
  <c r="G37" i="16" s="1"/>
  <c r="G88" i="24"/>
  <c r="G91" i="24"/>
  <c r="G92" i="24" s="1"/>
  <c r="M112" i="42"/>
  <c r="M115" i="42" s="1"/>
  <c r="M116" i="42" s="1"/>
  <c r="D79" i="58"/>
  <c r="D82" i="58"/>
  <c r="D83" i="58" s="1"/>
  <c r="J69" i="59"/>
  <c r="J72" i="59" s="1"/>
  <c r="J73" i="59" s="1"/>
  <c r="H88" i="63"/>
  <c r="H91" i="63" s="1"/>
  <c r="H92" i="63" s="1"/>
  <c r="L27" i="91"/>
  <c r="L30" i="91" s="1"/>
  <c r="L31" i="91" s="1"/>
  <c r="G31" i="5"/>
  <c r="G36" i="5" s="1"/>
  <c r="G37" i="5" s="1"/>
  <c r="H79" i="58"/>
  <c r="H82" i="58"/>
  <c r="H83" i="58" s="1"/>
  <c r="H81" i="56"/>
  <c r="H82" i="56" s="1"/>
  <c r="H78" i="56"/>
  <c r="F88" i="24"/>
  <c r="F91" i="24"/>
  <c r="F92" i="24" s="1"/>
  <c r="D31" i="35"/>
  <c r="D36" i="35" s="1"/>
  <c r="D37" i="35" s="1"/>
  <c r="N58" i="61"/>
  <c r="N61" i="61" s="1"/>
  <c r="N62" i="61" s="1"/>
  <c r="D77" i="68"/>
  <c r="D73" i="68"/>
  <c r="H64" i="59"/>
  <c r="H68" i="59"/>
  <c r="Q37" i="64"/>
  <c r="Q41" i="64"/>
  <c r="M80" i="70"/>
  <c r="M81" i="70" s="1"/>
  <c r="M77" i="70"/>
  <c r="G29" i="71"/>
  <c r="G32" i="71" s="1"/>
  <c r="G33" i="71" s="1"/>
  <c r="F34" i="75"/>
  <c r="F30" i="75"/>
  <c r="O31" i="81"/>
  <c r="O34" i="81" s="1"/>
  <c r="O35" i="81" s="1"/>
  <c r="O152" i="12"/>
  <c r="O156" i="12"/>
  <c r="K27" i="54"/>
  <c r="K32" i="54"/>
  <c r="K33" i="54" s="1"/>
  <c r="D31" i="28"/>
  <c r="D36" i="28" s="1"/>
  <c r="D37" i="28" s="1"/>
  <c r="D31" i="49"/>
  <c r="D36" i="49" s="1"/>
  <c r="D37" i="49" s="1"/>
  <c r="N34" i="75"/>
  <c r="N30" i="75"/>
  <c r="G33" i="79"/>
  <c r="G36" i="79"/>
  <c r="G37" i="79" s="1"/>
  <c r="E64" i="87"/>
  <c r="E67" i="87"/>
  <c r="E68" i="87" s="1"/>
  <c r="D78" i="92"/>
  <c r="D81" i="92"/>
  <c r="D82" i="92" s="1"/>
  <c r="G97" i="82"/>
  <c r="G100" i="82" s="1"/>
  <c r="G101" i="82" s="1"/>
  <c r="M78" i="68"/>
  <c r="M81" i="68"/>
  <c r="M82" i="68" s="1"/>
  <c r="D112" i="42"/>
  <c r="D115" i="42"/>
  <c r="D116" i="42" s="1"/>
  <c r="M92" i="83"/>
  <c r="M95" i="83"/>
  <c r="M96" i="83" s="1"/>
  <c r="D45" i="64"/>
  <c r="D46" i="64" s="1"/>
  <c r="D42" i="64"/>
  <c r="G115" i="39"/>
  <c r="G118" i="39"/>
  <c r="G119" i="39" s="1"/>
  <c r="L78" i="92"/>
  <c r="L81" i="92"/>
  <c r="L82" i="92" s="1"/>
  <c r="F112" i="67"/>
  <c r="F115" i="67" s="1"/>
  <c r="F116" i="67" s="1"/>
  <c r="N115" i="67"/>
  <c r="N116" i="67" s="1"/>
  <c r="N112" i="67"/>
  <c r="I94" i="74"/>
  <c r="I97" i="74"/>
  <c r="I98" i="74" s="1"/>
  <c r="G25" i="72"/>
  <c r="G29" i="72"/>
  <c r="D31" i="40"/>
  <c r="D36" i="40" s="1"/>
  <c r="D37" i="40" s="1"/>
  <c r="G95" i="76"/>
  <c r="G91" i="76"/>
  <c r="Q99" i="9"/>
  <c r="Q102" i="9" s="1"/>
  <c r="Q103" i="9" s="1"/>
  <c r="D31" i="11"/>
  <c r="D36" i="11" s="1"/>
  <c r="D37" i="11" s="1"/>
  <c r="J150" i="15"/>
  <c r="J153" i="15" s="1"/>
  <c r="J154" i="15" s="1"/>
  <c r="N157" i="12"/>
  <c r="N160" i="12" s="1"/>
  <c r="N161" i="12" s="1"/>
  <c r="G31" i="38"/>
  <c r="G36" i="38" s="1"/>
  <c r="G37" i="38" s="1"/>
  <c r="J102" i="45"/>
  <c r="J105" i="45"/>
  <c r="J106" i="45" s="1"/>
  <c r="O81" i="69"/>
  <c r="O84" i="69" s="1"/>
  <c r="O85" i="69" s="1"/>
  <c r="K33" i="79"/>
  <c r="K36" i="79" s="1"/>
  <c r="K37" i="79" s="1"/>
  <c r="J123" i="30"/>
  <c r="J126" i="30"/>
  <c r="J127" i="30" s="1"/>
  <c r="G31" i="7"/>
  <c r="G36" i="7" s="1"/>
  <c r="G37" i="7" s="1"/>
  <c r="E31" i="38"/>
  <c r="E36" i="38" s="1"/>
  <c r="E37" i="38" s="1"/>
  <c r="E32" i="54"/>
  <c r="E33" i="54" s="1"/>
  <c r="E27" i="54"/>
  <c r="F36" i="55"/>
  <c r="F39" i="55" s="1"/>
  <c r="F40" i="55" s="1"/>
  <c r="E63" i="60"/>
  <c r="E66" i="60" s="1"/>
  <c r="E67" i="60" s="1"/>
  <c r="K112" i="67"/>
  <c r="K115" i="67" s="1"/>
  <c r="K116" i="67" s="1"/>
  <c r="O91" i="63"/>
  <c r="O92" i="63" s="1"/>
  <c r="O88" i="63"/>
  <c r="M81" i="69"/>
  <c r="M84" i="69"/>
  <c r="M85" i="69" s="1"/>
  <c r="I95" i="89"/>
  <c r="I98" i="89" s="1"/>
  <c r="I99" i="89" s="1"/>
  <c r="Q86" i="83"/>
  <c r="Q19" i="83"/>
  <c r="D63" i="87"/>
  <c r="D59" i="87"/>
  <c r="I73" i="92"/>
  <c r="I77" i="92"/>
  <c r="F172" i="3"/>
  <c r="F177" i="3"/>
  <c r="F178" i="3" s="1"/>
  <c r="K78" i="33"/>
  <c r="K81" i="33" s="1"/>
  <c r="K82" i="33" s="1"/>
  <c r="G151" i="18"/>
  <c r="G155" i="18"/>
  <c r="K123" i="30"/>
  <c r="K126" i="30"/>
  <c r="K127" i="30" s="1"/>
  <c r="E31" i="49"/>
  <c r="E36" i="49" s="1"/>
  <c r="E37" i="49" s="1"/>
  <c r="K81" i="51"/>
  <c r="K84" i="51" s="1"/>
  <c r="K85" i="51" s="1"/>
  <c r="K88" i="63"/>
  <c r="K91" i="63" s="1"/>
  <c r="K92" i="63" s="1"/>
  <c r="E96" i="76"/>
  <c r="E99" i="76" s="1"/>
  <c r="E100" i="76" s="1"/>
  <c r="J90" i="73"/>
  <c r="J93" i="73"/>
  <c r="J94" i="73" s="1"/>
  <c r="H97" i="82"/>
  <c r="H100" i="82"/>
  <c r="H101" i="82" s="1"/>
  <c r="L63" i="87"/>
  <c r="L59" i="87"/>
  <c r="D96" i="90"/>
  <c r="D99" i="90"/>
  <c r="D100" i="90" s="1"/>
  <c r="I172" i="3"/>
  <c r="I177" i="3"/>
  <c r="I178" i="3" s="1"/>
  <c r="E88" i="24"/>
  <c r="E91" i="24"/>
  <c r="E92" i="24" s="1"/>
  <c r="E31" i="40"/>
  <c r="E36" i="40" s="1"/>
  <c r="E37" i="40" s="1"/>
  <c r="M102" i="45"/>
  <c r="M105" i="45" s="1"/>
  <c r="M106" i="45" s="1"/>
  <c r="Q96" i="45"/>
  <c r="Q22" i="45"/>
  <c r="E112" i="67"/>
  <c r="E115" i="67" s="1"/>
  <c r="E116" i="67" s="1"/>
  <c r="O95" i="76"/>
  <c r="O91" i="76"/>
  <c r="K96" i="90"/>
  <c r="K99" i="90"/>
  <c r="K100" i="90" s="1"/>
  <c r="D26" i="6"/>
  <c r="D31" i="6"/>
  <c r="D32" i="6" s="1"/>
  <c r="G31" i="32"/>
  <c r="G36" i="32" s="1"/>
  <c r="G37" i="32" s="1"/>
  <c r="O156" i="18"/>
  <c r="O159" i="18" s="1"/>
  <c r="O160" i="18" s="1"/>
  <c r="E77" i="33"/>
  <c r="E73" i="33"/>
  <c r="N72" i="57"/>
  <c r="N75" i="57" s="1"/>
  <c r="N76" i="57" s="1"/>
  <c r="E31" i="43"/>
  <c r="E36" i="43" s="1"/>
  <c r="E37" i="43" s="1"/>
  <c r="E97" i="45"/>
  <c r="E101" i="45"/>
  <c r="J79" i="58"/>
  <c r="J82" i="58" s="1"/>
  <c r="J83" i="58" s="1"/>
  <c r="F27" i="54"/>
  <c r="F32" i="54"/>
  <c r="F33" i="54" s="1"/>
  <c r="E81" i="69"/>
  <c r="E84" i="69"/>
  <c r="E85" i="69" s="1"/>
  <c r="M75" i="57"/>
  <c r="M76" i="57" s="1"/>
  <c r="M72" i="57"/>
  <c r="Q83" i="63"/>
  <c r="Q87" i="63"/>
  <c r="L94" i="74"/>
  <c r="L97" i="74"/>
  <c r="L98" i="74" s="1"/>
  <c r="N53" i="84"/>
  <c r="N56" i="84" s="1"/>
  <c r="N57" i="84" s="1"/>
  <c r="D31" i="4"/>
  <c r="D36" i="4" s="1"/>
  <c r="D37" i="4" s="1"/>
  <c r="M156" i="18"/>
  <c r="M159" i="18" s="1"/>
  <c r="M160" i="18" s="1"/>
  <c r="L91" i="27"/>
  <c r="L94" i="27"/>
  <c r="L95" i="27" s="1"/>
  <c r="K79" i="58"/>
  <c r="K82" i="58" s="1"/>
  <c r="K83" i="58" s="1"/>
  <c r="M88" i="63"/>
  <c r="M91" i="63" s="1"/>
  <c r="M92" i="63" s="1"/>
  <c r="D72" i="70"/>
  <c r="D76" i="70"/>
  <c r="D92" i="82"/>
  <c r="D96" i="82"/>
  <c r="I79" i="78"/>
  <c r="I82" i="78" s="1"/>
  <c r="I83" i="78" s="1"/>
  <c r="J39" i="86"/>
  <c r="J42" i="86" s="1"/>
  <c r="J43" i="86" s="1"/>
  <c r="K53" i="84"/>
  <c r="K56" i="84"/>
  <c r="K57" i="84" s="1"/>
  <c r="I91" i="88"/>
  <c r="I95" i="88"/>
  <c r="J99" i="9"/>
  <c r="J102" i="9"/>
  <c r="J103" i="9" s="1"/>
  <c r="J160" i="12"/>
  <c r="J161" i="12" s="1"/>
  <c r="J157" i="12"/>
  <c r="M120" i="36"/>
  <c r="M123" i="36"/>
  <c r="M124" i="36" s="1"/>
  <c r="O81" i="51"/>
  <c r="O84" i="51"/>
  <c r="O85" i="51" s="1"/>
  <c r="M42" i="64"/>
  <c r="M45" i="64"/>
  <c r="M46" i="64" s="1"/>
  <c r="N104" i="62"/>
  <c r="N107" i="62" s="1"/>
  <c r="N108" i="62" s="1"/>
  <c r="L81" i="69"/>
  <c r="L84" i="69"/>
  <c r="L85" i="69" s="1"/>
  <c r="O91" i="65"/>
  <c r="O94" i="65"/>
  <c r="O95" i="65" s="1"/>
  <c r="G91" i="65"/>
  <c r="G94" i="65"/>
  <c r="G95" i="65" s="1"/>
  <c r="H76" i="70"/>
  <c r="H72" i="70"/>
  <c r="I72" i="70"/>
  <c r="I76" i="70"/>
  <c r="E31" i="4"/>
  <c r="E36" i="4" s="1"/>
  <c r="E37" i="4" s="1"/>
  <c r="E31" i="20"/>
  <c r="E36" i="20" s="1"/>
  <c r="E37" i="20" s="1"/>
  <c r="L78" i="56"/>
  <c r="L81" i="56" s="1"/>
  <c r="L82" i="56" s="1"/>
  <c r="J104" i="62"/>
  <c r="J107" i="62" s="1"/>
  <c r="J108" i="62" s="1"/>
  <c r="H79" i="78"/>
  <c r="H82" i="78" s="1"/>
  <c r="H83" i="78" s="1"/>
  <c r="M31" i="80"/>
  <c r="M34" i="80" s="1"/>
  <c r="M35" i="80" s="1"/>
  <c r="G64" i="87"/>
  <c r="G67" i="87" s="1"/>
  <c r="G68" i="87" s="1"/>
  <c r="J96" i="88"/>
  <c r="J99" i="88"/>
  <c r="J100" i="88" s="1"/>
  <c r="G31" i="94"/>
  <c r="G36" i="94" s="1"/>
  <c r="G37" i="94" s="1"/>
  <c r="Q64" i="87"/>
  <c r="Q67" i="87"/>
  <c r="Q68" i="87" s="1"/>
  <c r="G91" i="27"/>
  <c r="G94" i="27" s="1"/>
  <c r="G95" i="27" s="1"/>
  <c r="J91" i="27"/>
  <c r="J94" i="27" s="1"/>
  <c r="J95" i="27" s="1"/>
  <c r="D31" i="29"/>
  <c r="D36" i="29" s="1"/>
  <c r="D37" i="29" s="1"/>
  <c r="G79" i="58"/>
  <c r="G82" i="58"/>
  <c r="G83" i="58" s="1"/>
  <c r="G104" i="62"/>
  <c r="G107" i="62" s="1"/>
  <c r="G108" i="62" s="1"/>
  <c r="N79" i="58"/>
  <c r="N82" i="58"/>
  <c r="N83" i="58" s="1"/>
  <c r="H90" i="73"/>
  <c r="H93" i="73" s="1"/>
  <c r="H94" i="73" s="1"/>
  <c r="O29" i="77"/>
  <c r="O32" i="77"/>
  <c r="O33" i="77" s="1"/>
  <c r="J32" i="77"/>
  <c r="J33" i="77" s="1"/>
  <c r="J29" i="77"/>
  <c r="M53" i="84"/>
  <c r="M56" i="84" s="1"/>
  <c r="M57" i="84" s="1"/>
  <c r="J96" i="90"/>
  <c r="J99" i="90"/>
  <c r="J100" i="90" s="1"/>
  <c r="I88" i="63"/>
  <c r="I91" i="63" s="1"/>
  <c r="I92" i="63" s="1"/>
  <c r="O92" i="83"/>
  <c r="O95" i="83" s="1"/>
  <c r="O96" i="83" s="1"/>
  <c r="K39" i="86"/>
  <c r="K42" i="86" s="1"/>
  <c r="K43" i="86" s="1"/>
  <c r="J88" i="24"/>
  <c r="J91" i="24" s="1"/>
  <c r="J92" i="24" s="1"/>
  <c r="K42" i="64"/>
  <c r="K45" i="64" s="1"/>
  <c r="K46" i="64" s="1"/>
  <c r="I34" i="85"/>
  <c r="I35" i="85" s="1"/>
  <c r="I31" i="85"/>
  <c r="O78" i="56"/>
  <c r="O81" i="56" s="1"/>
  <c r="O82" i="56" s="1"/>
  <c r="L112" i="67"/>
  <c r="L115" i="67" s="1"/>
  <c r="L116" i="67" s="1"/>
  <c r="Q96" i="21"/>
  <c r="Q99" i="21"/>
  <c r="Q100" i="21" s="1"/>
  <c r="Q36" i="66"/>
  <c r="Q37" i="66" s="1"/>
  <c r="Q33" i="66"/>
  <c r="D63" i="60"/>
  <c r="D66" i="60"/>
  <c r="D67" i="60" s="1"/>
  <c r="I64" i="87"/>
  <c r="I67" i="87" s="1"/>
  <c r="I68" i="87" s="1"/>
  <c r="O42" i="64"/>
  <c r="O45" i="64"/>
  <c r="O46" i="64" s="1"/>
  <c r="E99" i="88"/>
  <c r="E100" i="88" s="1"/>
  <c r="E96" i="88"/>
  <c r="H32" i="79"/>
  <c r="H28" i="79"/>
  <c r="K95" i="89"/>
  <c r="K98" i="89" s="1"/>
  <c r="K99" i="89" s="1"/>
  <c r="I58" i="61"/>
  <c r="I61" i="61"/>
  <c r="I62" i="61" s="1"/>
  <c r="N33" i="72"/>
  <c r="N34" i="72" s="1"/>
  <c r="N30" i="72"/>
  <c r="J31" i="81"/>
  <c r="J34" i="81" s="1"/>
  <c r="J35" i="81" s="1"/>
  <c r="Q30" i="80"/>
  <c r="Q26" i="80"/>
  <c r="L92" i="82"/>
  <c r="L96" i="82"/>
  <c r="F96" i="88"/>
  <c r="F99" i="88" s="1"/>
  <c r="F100" i="88" s="1"/>
  <c r="F89" i="74"/>
  <c r="F93" i="74"/>
  <c r="E79" i="78"/>
  <c r="E82" i="78" s="1"/>
  <c r="E83" i="78" s="1"/>
  <c r="G31" i="85"/>
  <c r="G34" i="85"/>
  <c r="G35" i="85" s="1"/>
  <c r="M99" i="9"/>
  <c r="M102" i="9" s="1"/>
  <c r="M103" i="9" s="1"/>
  <c r="L172" i="3"/>
  <c r="L177" i="3" s="1"/>
  <c r="L178" i="3" s="1"/>
  <c r="G31" i="23"/>
  <c r="G36" i="23" s="1"/>
  <c r="G37" i="23" s="1"/>
  <c r="G150" i="15"/>
  <c r="G153" i="15" s="1"/>
  <c r="G154" i="15" s="1"/>
  <c r="G31" i="43"/>
  <c r="G36" i="43" s="1"/>
  <c r="G37" i="43" s="1"/>
  <c r="D30" i="47"/>
  <c r="D26" i="47"/>
  <c r="O90" i="73"/>
  <c r="O93" i="73" s="1"/>
  <c r="O94" i="73" s="1"/>
  <c r="G31" i="80"/>
  <c r="G34" i="80"/>
  <c r="G35" i="80" s="1"/>
  <c r="E31" i="7"/>
  <c r="E36" i="7" s="1"/>
  <c r="E37" i="7" s="1"/>
  <c r="M150" i="15"/>
  <c r="M153" i="15"/>
  <c r="M154" i="15" s="1"/>
  <c r="D31" i="34"/>
  <c r="D36" i="34" s="1"/>
  <c r="D37" i="34" s="1"/>
  <c r="N123" i="30"/>
  <c r="N126" i="30" s="1"/>
  <c r="N127" i="30" s="1"/>
  <c r="D31" i="43"/>
  <c r="D36" i="43" s="1"/>
  <c r="D37" i="43" s="1"/>
  <c r="L27" i="54"/>
  <c r="L32" i="54"/>
  <c r="L33" i="54" s="1"/>
  <c r="H58" i="61"/>
  <c r="H61" i="61"/>
  <c r="H62" i="61" s="1"/>
  <c r="G33" i="66"/>
  <c r="G36" i="66" s="1"/>
  <c r="G37" i="66" s="1"/>
  <c r="J79" i="78"/>
  <c r="J82" i="78" s="1"/>
  <c r="J83" i="78" s="1"/>
  <c r="M172" i="3"/>
  <c r="M177" i="3"/>
  <c r="M178" i="3" s="1"/>
  <c r="J96" i="21"/>
  <c r="J99" i="21"/>
  <c r="J100" i="21" s="1"/>
  <c r="Q49" i="15"/>
  <c r="Q144" i="15"/>
  <c r="L118" i="39"/>
  <c r="L119" i="39" s="1"/>
  <c r="L115" i="39"/>
  <c r="I72" i="57"/>
  <c r="I75" i="57"/>
  <c r="I76" i="57" s="1"/>
  <c r="Q71" i="70"/>
  <c r="Q19" i="70"/>
  <c r="F95" i="89"/>
  <c r="F98" i="89"/>
  <c r="F99" i="89" s="1"/>
  <c r="G38" i="86"/>
  <c r="G34" i="86"/>
  <c r="Q26" i="6"/>
  <c r="Q31" i="6"/>
  <c r="Q32" i="6" s="1"/>
  <c r="J111" i="42"/>
  <c r="J107" i="42"/>
  <c r="G81" i="51"/>
  <c r="G84" i="51" s="1"/>
  <c r="G85" i="51" s="1"/>
  <c r="F81" i="51"/>
  <c r="F84" i="51"/>
  <c r="F85" i="51" s="1"/>
  <c r="O79" i="58"/>
  <c r="O82" i="58"/>
  <c r="O83" i="58" s="1"/>
  <c r="Q76" i="69"/>
  <c r="Q80" i="69"/>
  <c r="I80" i="69"/>
  <c r="I76" i="69"/>
  <c r="G35" i="75"/>
  <c r="G38" i="75" s="1"/>
  <c r="G39" i="75" s="1"/>
  <c r="O39" i="86"/>
  <c r="O42" i="86"/>
  <c r="O43" i="86" s="1"/>
  <c r="L92" i="83"/>
  <c r="L95" i="83"/>
  <c r="L96" i="83" s="1"/>
  <c r="F78" i="48"/>
  <c r="F81" i="48" s="1"/>
  <c r="F82" i="48" s="1"/>
  <c r="D78" i="56"/>
  <c r="D81" i="56"/>
  <c r="D82" i="56" s="1"/>
  <c r="N78" i="48"/>
  <c r="N81" i="48"/>
  <c r="N82" i="48" s="1"/>
  <c r="O104" i="62"/>
  <c r="O107" i="62"/>
  <c r="O108" i="62" s="1"/>
  <c r="M64" i="87"/>
  <c r="M67" i="87" s="1"/>
  <c r="M68" i="87" s="1"/>
  <c r="J88" i="63"/>
  <c r="J91" i="63" s="1"/>
  <c r="J92" i="63" s="1"/>
  <c r="Q115" i="36"/>
  <c r="Q119" i="36"/>
  <c r="D88" i="24"/>
  <c r="D91" i="24"/>
  <c r="D92" i="24" s="1"/>
  <c r="Q78" i="48"/>
  <c r="Q81" i="48" s="1"/>
  <c r="Q82" i="48" s="1"/>
  <c r="K78" i="68"/>
  <c r="K81" i="68"/>
  <c r="K82" i="68" s="1"/>
  <c r="D31" i="31" l="1"/>
  <c r="D36" i="31" s="1"/>
  <c r="D37" i="31" s="1"/>
  <c r="H126" i="30"/>
  <c r="H127" i="30" s="1"/>
  <c r="H123" i="30"/>
  <c r="Q79" i="58"/>
  <c r="Q82" i="58"/>
  <c r="Q83" i="58" s="1"/>
  <c r="F29" i="71"/>
  <c r="F32" i="71" s="1"/>
  <c r="F33" i="71" s="1"/>
  <c r="L61" i="61"/>
  <c r="L62" i="61" s="1"/>
  <c r="L58" i="61"/>
  <c r="N91" i="27"/>
  <c r="N94" i="27" s="1"/>
  <c r="N95" i="27" s="1"/>
  <c r="I97" i="82"/>
  <c r="I100" i="82"/>
  <c r="I101" i="82" s="1"/>
  <c r="H81" i="69"/>
  <c r="H84" i="69" s="1"/>
  <c r="H85" i="69" s="1"/>
  <c r="F99" i="90"/>
  <c r="F100" i="90" s="1"/>
  <c r="F96" i="90"/>
  <c r="Q69" i="59"/>
  <c r="Q72" i="59" s="1"/>
  <c r="Q73" i="59" s="1"/>
  <c r="Q78" i="92"/>
  <c r="Q81" i="92"/>
  <c r="Q82" i="92" s="1"/>
  <c r="L97" i="82"/>
  <c r="L100" i="82" s="1"/>
  <c r="L101" i="82" s="1"/>
  <c r="Q42" i="64"/>
  <c r="Q45" i="64" s="1"/>
  <c r="Q46" i="64" s="1"/>
  <c r="F115" i="42"/>
  <c r="F116" i="42" s="1"/>
  <c r="F112" i="42"/>
  <c r="G31" i="31"/>
  <c r="G36" i="31" s="1"/>
  <c r="G37" i="31" s="1"/>
  <c r="Q30" i="72"/>
  <c r="Q33" i="72" s="1"/>
  <c r="Q34" i="72" s="1"/>
  <c r="J112" i="42"/>
  <c r="J115" i="42" s="1"/>
  <c r="J116" i="42" s="1"/>
  <c r="Q87" i="83"/>
  <c r="Q91" i="83"/>
  <c r="E31" i="46"/>
  <c r="E36" i="46" s="1"/>
  <c r="E37" i="46" s="1"/>
  <c r="D33" i="66"/>
  <c r="D36" i="66"/>
  <c r="D37" i="66" s="1"/>
  <c r="D78" i="33"/>
  <c r="D81" i="33" s="1"/>
  <c r="D82" i="33" s="1"/>
  <c r="M27" i="91"/>
  <c r="M30" i="91" s="1"/>
  <c r="M31" i="91" s="1"/>
  <c r="E27" i="91"/>
  <c r="E30" i="91"/>
  <c r="E31" i="91" s="1"/>
  <c r="M79" i="58"/>
  <c r="M82" i="58"/>
  <c r="M83" i="58" s="1"/>
  <c r="Q114" i="39"/>
  <c r="Q110" i="39"/>
  <c r="Q95" i="76"/>
  <c r="Q91" i="76"/>
  <c r="Q86" i="27"/>
  <c r="Q90" i="27"/>
  <c r="F120" i="36"/>
  <c r="F123" i="36"/>
  <c r="F124" i="36" s="1"/>
  <c r="Q177" i="3"/>
  <c r="Q178" i="3" s="1"/>
  <c r="Q172" i="3"/>
  <c r="N31" i="85"/>
  <c r="N34" i="85" s="1"/>
  <c r="N35" i="85" s="1"/>
  <c r="H63" i="60"/>
  <c r="H66" i="60"/>
  <c r="H67" i="60" s="1"/>
  <c r="Q63" i="60"/>
  <c r="Q66" i="60"/>
  <c r="Q67" i="60" s="1"/>
  <c r="L31" i="85"/>
  <c r="L34" i="85" s="1"/>
  <c r="L35" i="85" s="1"/>
  <c r="H118" i="39"/>
  <c r="H119" i="39" s="1"/>
  <c r="H115" i="39"/>
  <c r="I96" i="88"/>
  <c r="I99" i="88"/>
  <c r="I100" i="88" s="1"/>
  <c r="Q90" i="89"/>
  <c r="Q94" i="89"/>
  <c r="D95" i="89"/>
  <c r="D98" i="89" s="1"/>
  <c r="D99" i="89" s="1"/>
  <c r="J67" i="87"/>
  <c r="J68" i="87" s="1"/>
  <c r="J64" i="87"/>
  <c r="G81" i="69"/>
  <c r="G84" i="69" s="1"/>
  <c r="G85" i="69" s="1"/>
  <c r="Q97" i="82"/>
  <c r="Q100" i="82"/>
  <c r="Q101" i="82" s="1"/>
  <c r="I118" i="39"/>
  <c r="I119" i="39" s="1"/>
  <c r="I115" i="39"/>
  <c r="H153" i="15"/>
  <c r="H154" i="15" s="1"/>
  <c r="H150" i="15"/>
  <c r="Q112" i="42"/>
  <c r="Q115" i="42" s="1"/>
  <c r="Q116" i="42" s="1"/>
  <c r="Q145" i="15"/>
  <c r="Q149" i="15"/>
  <c r="G30" i="72"/>
  <c r="G33" i="72" s="1"/>
  <c r="G34" i="72" s="1"/>
  <c r="H69" i="59"/>
  <c r="H72" i="59" s="1"/>
  <c r="H73" i="59" s="1"/>
  <c r="I157" i="12"/>
  <c r="I160" i="12" s="1"/>
  <c r="I161" i="12" s="1"/>
  <c r="K78" i="48"/>
  <c r="K81" i="48" s="1"/>
  <c r="K82" i="48" s="1"/>
  <c r="F91" i="27"/>
  <c r="F94" i="27" s="1"/>
  <c r="F95" i="27" s="1"/>
  <c r="D177" i="3"/>
  <c r="D178" i="3" s="1"/>
  <c r="D172" i="3"/>
  <c r="Q31" i="80"/>
  <c r="Q34" i="80"/>
  <c r="Q35" i="80" s="1"/>
  <c r="Q97" i="45"/>
  <c r="Q101" i="45"/>
  <c r="F38" i="75"/>
  <c r="F39" i="75" s="1"/>
  <c r="F35" i="75"/>
  <c r="Q72" i="57"/>
  <c r="Q75" i="57" s="1"/>
  <c r="Q76" i="57" s="1"/>
  <c r="E33" i="66"/>
  <c r="E36" i="66" s="1"/>
  <c r="E37" i="66" s="1"/>
  <c r="I96" i="90"/>
  <c r="I99" i="90"/>
  <c r="I100" i="90" s="1"/>
  <c r="G77" i="70"/>
  <c r="G80" i="70" s="1"/>
  <c r="G81" i="70" s="1"/>
  <c r="M33" i="66"/>
  <c r="M36" i="66" s="1"/>
  <c r="M37" i="66" s="1"/>
  <c r="H53" i="84"/>
  <c r="H56" i="84" s="1"/>
  <c r="H57" i="84" s="1"/>
  <c r="L33" i="66"/>
  <c r="L36" i="66"/>
  <c r="L37" i="66" s="1"/>
  <c r="Q96" i="90"/>
  <c r="Q99" i="90" s="1"/>
  <c r="Q100" i="90" s="1"/>
  <c r="F97" i="74"/>
  <c r="F98" i="74" s="1"/>
  <c r="F94" i="74"/>
  <c r="I77" i="70"/>
  <c r="I80" i="70" s="1"/>
  <c r="I81" i="70" s="1"/>
  <c r="D77" i="70"/>
  <c r="D80" i="70" s="1"/>
  <c r="D81" i="70" s="1"/>
  <c r="Q91" i="63"/>
  <c r="Q92" i="63" s="1"/>
  <c r="Q88" i="63"/>
  <c r="I81" i="92"/>
  <c r="I82" i="92" s="1"/>
  <c r="I78" i="92"/>
  <c r="F99" i="76"/>
  <c r="F100" i="76" s="1"/>
  <c r="F96" i="76"/>
  <c r="Q58" i="61"/>
  <c r="Q61" i="61"/>
  <c r="Q62" i="61" s="1"/>
  <c r="H96" i="88"/>
  <c r="H99" i="88" s="1"/>
  <c r="H100" i="88" s="1"/>
  <c r="F31" i="85"/>
  <c r="F34" i="85" s="1"/>
  <c r="F35" i="85" s="1"/>
  <c r="N115" i="42"/>
  <c r="N116" i="42" s="1"/>
  <c r="N112" i="42"/>
  <c r="Q96" i="88"/>
  <c r="Q99" i="88"/>
  <c r="Q100" i="88" s="1"/>
  <c r="Q76" i="70"/>
  <c r="Q72" i="70"/>
  <c r="D31" i="47"/>
  <c r="D36" i="47" s="1"/>
  <c r="D37" i="47" s="1"/>
  <c r="H33" i="79"/>
  <c r="H36" i="79" s="1"/>
  <c r="H37" i="79" s="1"/>
  <c r="E78" i="33"/>
  <c r="E81" i="33"/>
  <c r="E82" i="33" s="1"/>
  <c r="D78" i="68"/>
  <c r="D81" i="68" s="1"/>
  <c r="D82" i="68" s="1"/>
  <c r="Q156" i="18"/>
  <c r="Q159" i="18" s="1"/>
  <c r="Q160" i="18" s="1"/>
  <c r="F157" i="12"/>
  <c r="F160" i="12" s="1"/>
  <c r="F161" i="12" s="1"/>
  <c r="G112" i="67"/>
  <c r="G115" i="67"/>
  <c r="G116" i="67" s="1"/>
  <c r="I115" i="42"/>
  <c r="I116" i="42" s="1"/>
  <c r="I112" i="42"/>
  <c r="F102" i="45"/>
  <c r="F105" i="45" s="1"/>
  <c r="F106" i="45" s="1"/>
  <c r="J36" i="55"/>
  <c r="J39" i="55" s="1"/>
  <c r="J40" i="55" s="1"/>
  <c r="I123" i="30"/>
  <c r="I126" i="30"/>
  <c r="I127" i="30" s="1"/>
  <c r="I32" i="71"/>
  <c r="I33" i="71" s="1"/>
  <c r="I29" i="71"/>
  <c r="O120" i="36"/>
  <c r="O123" i="36" s="1"/>
  <c r="O124" i="36" s="1"/>
  <c r="E79" i="58"/>
  <c r="E82" i="58" s="1"/>
  <c r="E83" i="58" s="1"/>
  <c r="Q81" i="51"/>
  <c r="Q84" i="51"/>
  <c r="Q85" i="51" s="1"/>
  <c r="Q39" i="86"/>
  <c r="Q42" i="86" s="1"/>
  <c r="Q43" i="86" s="1"/>
  <c r="Q120" i="36"/>
  <c r="Q123" i="36" s="1"/>
  <c r="Q124" i="36" s="1"/>
  <c r="D100" i="82"/>
  <c r="D101" i="82" s="1"/>
  <c r="D97" i="82"/>
  <c r="Q93" i="74"/>
  <c r="Q89" i="74"/>
  <c r="J53" i="84"/>
  <c r="J56" i="84" s="1"/>
  <c r="J57" i="84" s="1"/>
  <c r="E105" i="45"/>
  <c r="E106" i="45" s="1"/>
  <c r="E102" i="45"/>
  <c r="G156" i="18"/>
  <c r="G159" i="18" s="1"/>
  <c r="G160" i="18" s="1"/>
  <c r="O157" i="12"/>
  <c r="O160" i="12"/>
  <c r="O161" i="12" s="1"/>
  <c r="D61" i="61"/>
  <c r="D62" i="61" s="1"/>
  <c r="D58" i="61"/>
  <c r="Q93" i="73"/>
  <c r="Q94" i="73" s="1"/>
  <c r="Q90" i="73"/>
  <c r="J118" i="39"/>
  <c r="J119" i="39" s="1"/>
  <c r="J115" i="39"/>
  <c r="D94" i="74"/>
  <c r="D97" i="74"/>
  <c r="D98" i="74" s="1"/>
  <c r="H120" i="36"/>
  <c r="H123" i="36" s="1"/>
  <c r="H124" i="36" s="1"/>
  <c r="G97" i="74"/>
  <c r="G98" i="74" s="1"/>
  <c r="G94" i="74"/>
  <c r="Q152" i="12"/>
  <c r="Q156" i="12"/>
  <c r="E97" i="82"/>
  <c r="E100" i="82" s="1"/>
  <c r="E101" i="82" s="1"/>
  <c r="M95" i="89"/>
  <c r="M98" i="89" s="1"/>
  <c r="M99" i="89" s="1"/>
  <c r="Q78" i="33"/>
  <c r="Q81" i="33" s="1"/>
  <c r="Q82" i="33" s="1"/>
  <c r="E31" i="32"/>
  <c r="E36" i="32" s="1"/>
  <c r="E37" i="32" s="1"/>
  <c r="G96" i="90"/>
  <c r="G99" i="90" s="1"/>
  <c r="G100" i="90" s="1"/>
  <c r="E38" i="75"/>
  <c r="E39" i="75" s="1"/>
  <c r="E35" i="75"/>
  <c r="Q81" i="68"/>
  <c r="Q82" i="68" s="1"/>
  <c r="Q78" i="68"/>
  <c r="Q126" i="30"/>
  <c r="Q127" i="30" s="1"/>
  <c r="Q123" i="30"/>
  <c r="Q81" i="69"/>
  <c r="Q84" i="69" s="1"/>
  <c r="Q85" i="69" s="1"/>
  <c r="I84" i="69"/>
  <c r="I85" i="69" s="1"/>
  <c r="I81" i="69"/>
  <c r="G39" i="86"/>
  <c r="G42" i="86" s="1"/>
  <c r="G43" i="86" s="1"/>
  <c r="H77" i="70"/>
  <c r="H80" i="70" s="1"/>
  <c r="H81" i="70" s="1"/>
  <c r="O96" i="76"/>
  <c r="O99" i="76" s="1"/>
  <c r="O100" i="76" s="1"/>
  <c r="L64" i="87"/>
  <c r="L67" i="87" s="1"/>
  <c r="L68" i="87" s="1"/>
  <c r="D64" i="87"/>
  <c r="D67" i="87" s="1"/>
  <c r="D68" i="87" s="1"/>
  <c r="G99" i="76"/>
  <c r="G100" i="76" s="1"/>
  <c r="G96" i="76"/>
  <c r="N35" i="75"/>
  <c r="N38" i="75" s="1"/>
  <c r="N39" i="75" s="1"/>
  <c r="E91" i="27"/>
  <c r="E94" i="27" s="1"/>
  <c r="E95" i="27" s="1"/>
  <c r="Q82" i="78"/>
  <c r="Q83" i="78" s="1"/>
  <c r="Q79" i="78"/>
  <c r="L88" i="24"/>
  <c r="L91" i="24" s="1"/>
  <c r="L92" i="24" s="1"/>
  <c r="L78" i="33"/>
  <c r="L81" i="33"/>
  <c r="L82" i="33" s="1"/>
  <c r="Q30" i="75"/>
  <c r="Q34" i="75"/>
  <c r="Q111" i="67"/>
  <c r="Q107" i="67"/>
  <c r="Q33" i="79"/>
  <c r="Q36" i="79" s="1"/>
  <c r="Q37" i="79" s="1"/>
  <c r="D31" i="85"/>
  <c r="D34" i="85"/>
  <c r="D35" i="85" s="1"/>
  <c r="Q91" i="65"/>
  <c r="Q94" i="65" s="1"/>
  <c r="Q95" i="65" s="1"/>
  <c r="H39" i="86"/>
  <c r="H42" i="86" s="1"/>
  <c r="H43" i="86" s="1"/>
  <c r="H112" i="67"/>
  <c r="H115" i="67" s="1"/>
  <c r="H116" i="67" s="1"/>
  <c r="I81" i="51"/>
  <c r="I84" i="51"/>
  <c r="I85" i="51" s="1"/>
  <c r="I112" i="67"/>
  <c r="I115" i="67" s="1"/>
  <c r="I116" i="67" s="1"/>
  <c r="Q53" i="84"/>
  <c r="Q56" i="84" s="1"/>
  <c r="Q57" i="84" s="1"/>
  <c r="Q112" i="67" l="1"/>
  <c r="Q115" i="67" s="1"/>
  <c r="Q116" i="67" s="1"/>
  <c r="Q35" i="75"/>
  <c r="Q38" i="75" s="1"/>
  <c r="Q39" i="75" s="1"/>
  <c r="Q77" i="70"/>
  <c r="Q80" i="70"/>
  <c r="Q81" i="70" s="1"/>
  <c r="Q115" i="39"/>
  <c r="Q118" i="39" s="1"/>
  <c r="Q119" i="39" s="1"/>
  <c r="Q102" i="45"/>
  <c r="Q105" i="45" s="1"/>
  <c r="Q106" i="45" s="1"/>
  <c r="Q150" i="15"/>
  <c r="Q153" i="15" s="1"/>
  <c r="Q154" i="15" s="1"/>
  <c r="Q95" i="89"/>
  <c r="Q98" i="89" s="1"/>
  <c r="Q99" i="89" s="1"/>
  <c r="Q94" i="74"/>
  <c r="Q97" i="74"/>
  <c r="Q98" i="74" s="1"/>
  <c r="Q160" i="12"/>
  <c r="Q161" i="12" s="1"/>
  <c r="Q157" i="12"/>
  <c r="Q91" i="27"/>
  <c r="Q94" i="27"/>
  <c r="Q95" i="27" s="1"/>
  <c r="Q92" i="83"/>
  <c r="Q95" i="83"/>
  <c r="Q96" i="83" s="1"/>
  <c r="Q96" i="76"/>
  <c r="Q99" i="76" s="1"/>
  <c r="Q100" i="76" s="1"/>
</calcChain>
</file>

<file path=xl/sharedStrings.xml><?xml version="1.0" encoding="utf-8"?>
<sst xmlns="http://schemas.openxmlformats.org/spreadsheetml/2006/main" count="2420" uniqueCount="314">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</sst>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0" fillId="0" borderId="0" xfId="1" applyNumberFormat="1" applyFont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/>
    <xf numFmtId="49" fontId="1" fillId="0" borderId="0" xfId="0" applyNumberFormat="1" applyFont="1" applyFill="1"/>
    <xf numFmtId="0" fontId="0" fillId="0" borderId="0" xfId="0" applyFont="1"/>
    <xf numFmtId="49" fontId="3" fillId="0" borderId="0" xfId="0" applyNumberFormat="1" applyFont="1" applyFill="1"/>
    <xf numFmtId="0" fontId="4" fillId="0" borderId="0" xfId="0" applyFont="1" applyAlignment="1">
      <alignment horizontal="left"/>
    </xf>
    <xf numFmtId="0" fontId="5" fillId="0" borderId="0" xfId="0" applyFont="1" applyFill="1"/>
    <xf numFmtId="165" fontId="4" fillId="0" borderId="0" xfId="0" applyNumberFormat="1" applyFont="1" applyAlignment="1">
      <alignment horizontal="left"/>
    </xf>
    <xf numFmtId="0" fontId="0" fillId="0" borderId="0" xfId="0" applyBorder="1"/>
    <xf numFmtId="0" fontId="3" fillId="0" borderId="0" xfId="0" quotePrefix="1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38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7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82"/>
  <sheetViews>
    <sheetView tabSelected="1" zoomScale="80" workbookViewId="0">
      <pane xSplit="3" ySplit="8" topLeftCell="D161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136</v>
      </c>
    </row>
    <row r="4" spans="1:18" x14ac:dyDescent="0.3">
      <c r="B4" s="30" t="s">
        <v>158</v>
      </c>
    </row>
    <row r="5" spans="1:18" ht="15" customHeight="1" x14ac:dyDescent="0.3">
      <c r="A5" s="15"/>
      <c r="B5" s="15" t="s">
        <v>312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504149.17999999993</v>
      </c>
      <c r="E10" s="3">
        <f>SUM(OSRRefD11x_1)</f>
        <v>2488533.1399999997</v>
      </c>
      <c r="F10" s="3">
        <f>SUM(OSRRefD11x_2)</f>
        <v>2349602.9600000004</v>
      </c>
      <c r="G10" s="3">
        <f>SUM(OSRRefD11x_3)</f>
        <v>2529009.2400000002</v>
      </c>
      <c r="H10" s="3">
        <f>SUM(OSRRefD11x_4)</f>
        <v>1806314.45</v>
      </c>
      <c r="I10" s="3">
        <f>SUM(OSRRefD11x_5)</f>
        <v>1697984.62</v>
      </c>
      <c r="J10" s="3">
        <f>SUM(OSRRefE11x_0)</f>
        <v>2849041</v>
      </c>
      <c r="K10" s="3">
        <f>SUM(OSRRefE11x_1)</f>
        <v>2310646</v>
      </c>
      <c r="L10" s="3">
        <f>SUM(OSRRefE11x_2)</f>
        <v>2063199</v>
      </c>
      <c r="M10" s="3">
        <f>SUM(OSRRefE11x_3)</f>
        <v>2160785</v>
      </c>
      <c r="N10" s="3">
        <f>SUM(OSRRefE11x_4)</f>
        <v>1696220</v>
      </c>
      <c r="O10" s="3">
        <f>SUM(OSRRefE11x_5)</f>
        <v>528176</v>
      </c>
      <c r="P10" s="24"/>
      <c r="Q10" s="3">
        <f>SUM(OSRRefG11x)</f>
        <v>22983660.59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--270004.59</f>
        <v>270004.59000000003</v>
      </c>
      <c r="E11" s="2">
        <f>--1520862.77</f>
        <v>1520862.77</v>
      </c>
      <c r="F11" s="2">
        <f>--602508.39</f>
        <v>602508.39</v>
      </c>
      <c r="G11" s="2">
        <f>--566965.46</f>
        <v>566965.46</v>
      </c>
      <c r="H11" s="2">
        <f>--366495.88</f>
        <v>366495.88</v>
      </c>
      <c r="I11" s="2">
        <f>--617096.02</f>
        <v>617096.02</v>
      </c>
      <c r="J11" s="2">
        <v>2209503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9455577.1099999994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/>
      <c r="K12" s="2"/>
      <c r="L12" s="2"/>
      <c r="M12" s="2"/>
      <c r="N12" s="2"/>
      <c r="O12" s="2"/>
      <c r="Q12" s="2">
        <f>SUM(OSRRefD11_1x)+IFERROR(SUM(OSRRefE11_1x),0)</f>
        <v>146982.79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>--106.64</f>
        <v>106.64</v>
      </c>
      <c r="E13" s="2">
        <f>--384.19</f>
        <v>384.19</v>
      </c>
      <c r="F13" s="2">
        <f>--783.19</f>
        <v>783.19</v>
      </c>
      <c r="G13" s="2">
        <f>--5315.1</f>
        <v>5315.1</v>
      </c>
      <c r="H13" s="2">
        <f>--2037.86</f>
        <v>2037.86</v>
      </c>
      <c r="I13" s="2">
        <f>--2035.19</f>
        <v>2035.19</v>
      </c>
      <c r="J13" s="2"/>
      <c r="K13" s="2"/>
      <c r="L13" s="2"/>
      <c r="M13" s="2"/>
      <c r="N13" s="2"/>
      <c r="O13" s="2"/>
      <c r="Q13" s="2">
        <f>SUM(OSRRefD11_2x)+IFERROR(SUM(OSRRefE11_2x),0)</f>
        <v>10662.170000000002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>--225721.52</f>
        <v>225721.52</v>
      </c>
      <c r="E14" s="2">
        <f>--498108.59</f>
        <v>498108.59</v>
      </c>
      <c r="F14" s="2">
        <f>--231457.89</f>
        <v>231457.89</v>
      </c>
      <c r="G14" s="2">
        <f>--234443.72</f>
        <v>234443.72</v>
      </c>
      <c r="H14" s="2">
        <f>--113185.96</f>
        <v>113185.96</v>
      </c>
      <c r="I14" s="2">
        <f>--116954.97</f>
        <v>116954.97</v>
      </c>
      <c r="J14" s="2">
        <v>639538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7516295.6500000004</v>
      </c>
    </row>
    <row r="15" spans="1:18" s="9" customFormat="1" hidden="1" outlineLevel="1" x14ac:dyDescent="0.3">
      <c r="A15" s="23"/>
      <c r="B15" s="10" t="str">
        <f>CONCATENATE("          ","4141", " - ","NON-TAXABLE SALES-LOGO GIFTS")</f>
        <v xml:space="preserve">          4141 - NON-TAXABLE SALES-LOGO GIFTS</v>
      </c>
      <c r="C15" s="22"/>
      <c r="D15" s="2">
        <f>0</f>
        <v>0</v>
      </c>
      <c r="E15" s="2">
        <f>--389.5</f>
        <v>389.5</v>
      </c>
      <c r="F15" s="2">
        <f>--71.05</f>
        <v>71.05</v>
      </c>
      <c r="G15" s="2">
        <f>-460.55</f>
        <v>-460.55</v>
      </c>
      <c r="H15" s="2">
        <f t="shared" ref="H15:I16" si="0">0</f>
        <v>0</v>
      </c>
      <c r="I15" s="2">
        <f t="shared" si="0"/>
        <v>0</v>
      </c>
      <c r="J15" s="2"/>
      <c r="K15" s="2"/>
      <c r="L15" s="2"/>
      <c r="M15" s="2"/>
      <c r="N15" s="2"/>
      <c r="O15" s="2"/>
      <c r="Q15" s="2">
        <f>SUM(OSRRefD11_4x)+IFERROR(SUM(OSRRefE11_4x),0)</f>
        <v>0</v>
      </c>
    </row>
    <row r="16" spans="1:18" s="9" customFormat="1" hidden="1" outlineLevel="1" x14ac:dyDescent="0.3">
      <c r="A16" s="23"/>
      <c r="B16" s="10" t="str">
        <f>CONCATENATE("          ","4146", " - ","NON-TAXABLE SALES-COIN OP MACH")</f>
        <v xml:space="preserve">          4146 - NON-TAXABLE SALES-COIN OP MACH</v>
      </c>
      <c r="C16" s="22"/>
      <c r="D16" s="2">
        <f>--20.2</f>
        <v>20.2</v>
      </c>
      <c r="E16" s="2">
        <f>--2713.4</f>
        <v>2713.4</v>
      </c>
      <c r="F16" s="2">
        <f>--4759.35</f>
        <v>4759.3500000000004</v>
      </c>
      <c r="G16" s="2">
        <f>-7492.95</f>
        <v>-7492.95</v>
      </c>
      <c r="H16" s="2">
        <f t="shared" si="0"/>
        <v>0</v>
      </c>
      <c r="I16" s="2">
        <f t="shared" si="0"/>
        <v>0</v>
      </c>
      <c r="J16" s="2"/>
      <c r="K16" s="2"/>
      <c r="L16" s="2"/>
      <c r="M16" s="2"/>
      <c r="N16" s="2"/>
      <c r="O16" s="2"/>
      <c r="Q16" s="2">
        <f>SUM(OSRRefD11_5x)+IFERROR(SUM(OSRRefE11_5x),0)</f>
        <v>9.0949470177292824E-13</v>
      </c>
    </row>
    <row r="17" spans="1:17" s="9" customFormat="1" hidden="1" outlineLevel="1" x14ac:dyDescent="0.3">
      <c r="A17" s="23"/>
      <c r="B17" s="10" t="str">
        <f>CONCATENATE("          ","4151", " - ","NON-TAXABLE SALES-FOOD")</f>
        <v xml:space="preserve">          4151 - NON-TAXABLE SALES-FOOD</v>
      </c>
      <c r="C17" s="22"/>
      <c r="D17" s="2">
        <f>--28671.38</f>
        <v>28671.38</v>
      </c>
      <c r="E17" s="2">
        <f>--498691.97</f>
        <v>498691.97</v>
      </c>
      <c r="F17" s="2">
        <f>--1509200.13</f>
        <v>1509200.13</v>
      </c>
      <c r="G17" s="2">
        <f>--1734326.4</f>
        <v>1734326.4</v>
      </c>
      <c r="H17" s="2">
        <f>--1356110.78</f>
        <v>1356110.78</v>
      </c>
      <c r="I17" s="2">
        <f>--1041445.01</f>
        <v>1041445.01</v>
      </c>
      <c r="J17" s="2"/>
      <c r="K17" s="2"/>
      <c r="L17" s="2"/>
      <c r="M17" s="2"/>
      <c r="N17" s="2"/>
      <c r="O17" s="2"/>
      <c r="Q17" s="2">
        <f>SUM(OSRRefD11_6x)+IFERROR(SUM(OSRRefE11_6x),0)</f>
        <v>6168445.6699999999</v>
      </c>
    </row>
    <row r="18" spans="1:17" s="9" customFormat="1" hidden="1" outlineLevel="1" x14ac:dyDescent="0.3">
      <c r="A18" s="23"/>
      <c r="B18" s="10" t="str">
        <f>CONCATENATE("          ","4153", " - ","NON-TAXABLE SALES-FOOD")</f>
        <v xml:space="preserve">          4153 - NON-TAXABLE SALES-FOOD</v>
      </c>
      <c r="C18" s="22"/>
      <c r="D18" s="2">
        <f>--3280.71</f>
        <v>3280.71</v>
      </c>
      <c r="E18" s="2">
        <f>--15917.66</f>
        <v>15917.66</v>
      </c>
      <c r="F18" s="2">
        <f>--13078.96</f>
        <v>13078.96</v>
      </c>
      <c r="G18" s="2">
        <f>--12127.37</f>
        <v>12127.37</v>
      </c>
      <c r="H18" s="2">
        <f>--6365.13</f>
        <v>6365.13</v>
      </c>
      <c r="I18" s="2">
        <f>--5696.16</f>
        <v>5696.16</v>
      </c>
      <c r="J18" s="2"/>
      <c r="K18" s="2"/>
      <c r="L18" s="2"/>
      <c r="M18" s="2"/>
      <c r="N18" s="2"/>
      <c r="O18" s="2"/>
      <c r="Q18" s="2">
        <f>SUM(OSRRefD11_7x)+IFERROR(SUM(OSRRefE11_7x),0)</f>
        <v>56465.989999999991</v>
      </c>
    </row>
    <row r="19" spans="1:17" s="9" customFormat="1" hidden="1" outlineLevel="1" x14ac:dyDescent="0.3">
      <c r="A19" s="23"/>
      <c r="B19" s="10" t="str">
        <f>CONCATENATE("          ","4200", " - ","TAXABLE RETURNS")</f>
        <v xml:space="preserve">          4200 - TAXABLE RETURNS</v>
      </c>
      <c r="C19" s="22"/>
      <c r="D19" s="2">
        <f>-32785.21</f>
        <v>-32785.21</v>
      </c>
      <c r="E19" s="2">
        <f>-52638.54</f>
        <v>-52638.54</v>
      </c>
      <c r="F19" s="2">
        <f>-43203.32</f>
        <v>-43203.32</v>
      </c>
      <c r="G19" s="2">
        <f>-42133.25</f>
        <v>-42133.25</v>
      </c>
      <c r="H19" s="2">
        <f>-53747.52</f>
        <v>-53747.519999999997</v>
      </c>
      <c r="I19" s="2">
        <f>-53893.38</f>
        <v>-53893.38</v>
      </c>
      <c r="J19" s="2"/>
      <c r="K19" s="2"/>
      <c r="L19" s="2"/>
      <c r="M19" s="2"/>
      <c r="N19" s="2"/>
      <c r="O19" s="2"/>
      <c r="Q19" s="2">
        <f>SUM(OSRRefD11_8x)+IFERROR(SUM(OSRRefE11_8x),0)</f>
        <v>-278401.21999999997</v>
      </c>
    </row>
    <row r="20" spans="1:17" s="9" customFormat="1" hidden="1" outlineLevel="1" x14ac:dyDescent="0.3">
      <c r="A20" s="23"/>
      <c r="B20" s="10" t="str">
        <f>CONCATENATE("          ","4300", " - ","NON-TAX RETURNS")</f>
        <v xml:space="preserve">          4300 - NON-TAX RETURNS</v>
      </c>
      <c r="C20" s="22"/>
      <c r="D20" s="2">
        <f>-1501.58</f>
        <v>-1501.58</v>
      </c>
      <c r="E20" s="2">
        <f>-16535.91</f>
        <v>-16535.91</v>
      </c>
      <c r="F20" s="2">
        <f>-2758.55</f>
        <v>-2758.55</v>
      </c>
      <c r="G20" s="2">
        <f>-5693.23</f>
        <v>-5693.23</v>
      </c>
      <c r="H20" s="2">
        <f>-715.91</f>
        <v>-715.91</v>
      </c>
      <c r="I20" s="2">
        <f>-678.95</f>
        <v>-678.95</v>
      </c>
      <c r="J20" s="2"/>
      <c r="K20" s="2"/>
      <c r="L20" s="2"/>
      <c r="M20" s="2"/>
      <c r="N20" s="2"/>
      <c r="O20" s="2"/>
      <c r="Q20" s="2">
        <f>SUM(OSRRefD11_9x)+IFERROR(SUM(OSRRefE11_9x),0)</f>
        <v>-27884.129999999997</v>
      </c>
    </row>
    <row r="21" spans="1:17" s="9" customFormat="1" hidden="1" outlineLevel="1" x14ac:dyDescent="0.3">
      <c r="A21" s="23"/>
      <c r="B21" s="10" t="str">
        <f>CONCATENATE("          ","4500", " - ","SALES DISCOUNT")</f>
        <v xml:space="preserve">          4500 - SALES DISCOUNT</v>
      </c>
      <c r="C21" s="22"/>
      <c r="D21" s="2">
        <f t="shared" ref="D21:F21" si="1">0</f>
        <v>0</v>
      </c>
      <c r="E21" s="2">
        <f t="shared" si="1"/>
        <v>0</v>
      </c>
      <c r="F21" s="2">
        <f t="shared" si="1"/>
        <v>0</v>
      </c>
      <c r="G21" s="2">
        <f>-7663.09</f>
        <v>-7663.09</v>
      </c>
      <c r="H21" s="2">
        <f>-6518.33</f>
        <v>-6518.33</v>
      </c>
      <c r="I21" s="2">
        <f>-50302.02</f>
        <v>-50302.02</v>
      </c>
      <c r="J21" s="2"/>
      <c r="K21" s="2"/>
      <c r="L21" s="2"/>
      <c r="M21" s="2"/>
      <c r="N21" s="2"/>
      <c r="O21" s="2"/>
      <c r="Q21" s="2">
        <f>SUM(OSRRefD11_10x)+IFERROR(SUM(OSRRefE11_10x),0)</f>
        <v>-64483.439999999995</v>
      </c>
    </row>
    <row r="22" spans="1:17" x14ac:dyDescent="0.3">
      <c r="A22" s="5"/>
      <c r="B22" s="6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4"/>
      <c r="Q22" s="3"/>
    </row>
    <row r="23" spans="1:17" s="9" customFormat="1" collapsed="1" x14ac:dyDescent="0.3">
      <c r="A23" s="23"/>
      <c r="B23" s="16" t="s">
        <v>218</v>
      </c>
      <c r="C23" s="22"/>
      <c r="D23" s="3">
        <f>SUM(OSRRefD14x_0)</f>
        <v>231981.13000000006</v>
      </c>
      <c r="E23" s="3">
        <f>SUM(OSRRefD14x_1)</f>
        <v>1476722.11</v>
      </c>
      <c r="F23" s="3">
        <f>SUM(OSRRefD14x_2)</f>
        <v>918591.82000000018</v>
      </c>
      <c r="G23" s="3">
        <f>SUM(OSRRefD14x_3)</f>
        <v>975886.2300000001</v>
      </c>
      <c r="H23" s="3">
        <f>SUM(OSRRefD14x_4)</f>
        <v>561552.03</v>
      </c>
      <c r="I23" s="3">
        <f>SUM(OSRRefD14x_5)</f>
        <v>653925.90999999992</v>
      </c>
      <c r="J23" s="3">
        <f>SUM(OSRRefE14x_0)</f>
        <v>1675649</v>
      </c>
      <c r="K23" s="3">
        <f>SUM(OSRRefE14x_1)</f>
        <v>865778</v>
      </c>
      <c r="L23" s="3">
        <f>SUM(OSRRefE14x_2)</f>
        <v>720357</v>
      </c>
      <c r="M23" s="3">
        <f>SUM(OSRRefE14x_3)</f>
        <v>807534</v>
      </c>
      <c r="N23" s="3">
        <f>SUM(OSRRefE14x_4)</f>
        <v>804888</v>
      </c>
      <c r="O23" s="3">
        <f>SUM(OSRRefE14x_5)</f>
        <v>279546</v>
      </c>
      <c r="Q23" s="3">
        <f>SUM(OSRRefG14x)</f>
        <v>9972411.2299999986</v>
      </c>
    </row>
    <row r="24" spans="1:17" s="9" customFormat="1" hidden="1" outlineLevel="1" x14ac:dyDescent="0.3">
      <c r="A24" s="23"/>
      <c r="B24" s="10" t="str">
        <f>CONCATENATE("          ","5000", " - ","PURCHASES @ COST")</f>
        <v xml:space="preserve">          5000 - PURCHASES @ COST</v>
      </c>
      <c r="C24" s="22"/>
      <c r="D24" s="2">
        <v>442136.21</v>
      </c>
      <c r="E24" s="2">
        <v>785954.3</v>
      </c>
      <c r="F24" s="2">
        <v>895370.31</v>
      </c>
      <c r="G24" s="2">
        <v>879528.49</v>
      </c>
      <c r="H24" s="2">
        <v>-11220.02</v>
      </c>
      <c r="I24" s="2">
        <v>467393.3</v>
      </c>
      <c r="J24" s="2">
        <v>1675649</v>
      </c>
      <c r="K24" s="2">
        <v>865778</v>
      </c>
      <c r="L24" s="2">
        <v>720357</v>
      </c>
      <c r="M24" s="2">
        <v>807534</v>
      </c>
      <c r="N24" s="2">
        <v>804888</v>
      </c>
      <c r="O24" s="2">
        <v>279546</v>
      </c>
      <c r="Q24" s="2">
        <f>SUM(OSRRefD14_0x)+IFERROR(SUM(OSRRefE14_0x),0)</f>
        <v>8612914.5899999999</v>
      </c>
    </row>
    <row r="25" spans="1:17" s="9" customFormat="1" hidden="1" outlineLevel="1" x14ac:dyDescent="0.3">
      <c r="A25" s="23"/>
      <c r="B25" s="10" t="str">
        <f>CONCATENATE("          ","5001", " - ","PURCHASES @ COST-NEW TEXT")</f>
        <v xml:space="preserve">          5001 - PURCHASES @ COST-NEW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SUM(OSRRefD14_1x)+IFERROR(SUM(OSRRefE14_1x),0)</f>
        <v>0</v>
      </c>
    </row>
    <row r="26" spans="1:17" s="9" customFormat="1" hidden="1" outlineLevel="1" x14ac:dyDescent="0.3">
      <c r="A26" s="23"/>
      <c r="B26" s="10" t="str">
        <f>CONCATENATE("          ","5002", " - ","PURCHASES @ COST-USED TEXT")</f>
        <v xml:space="preserve">          5002 - PURCHASES @ COST-USED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0</v>
      </c>
    </row>
    <row r="27" spans="1:17" s="9" customFormat="1" hidden="1" outlineLevel="1" x14ac:dyDescent="0.3">
      <c r="A27" s="23"/>
      <c r="B27" s="10" t="str">
        <f>CONCATENATE("          ","5004", " - ","PURCHASES @ COST-DIGITAL TEXT")</f>
        <v xml:space="preserve">          5004 - PURCHASES @ COST-DIGITAL TEXT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SUM(OSRRefD14_3x)+IFERROR(SUM(OSRRefE14_3x),0)</f>
        <v>0</v>
      </c>
    </row>
    <row r="28" spans="1:17" s="9" customFormat="1" hidden="1" outlineLevel="1" x14ac:dyDescent="0.3">
      <c r="A28" s="23"/>
      <c r="B28" s="10" t="str">
        <f>CONCATENATE("          ","5026", " - ","PURCHASES @ COST-WRITING INSTR")</f>
        <v xml:space="preserve">          5026 - PURCHASES @ COST-WRITING INSTR</v>
      </c>
      <c r="C28" s="22"/>
      <c r="D28" s="2"/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SUM(OSRRefD14_4x)+IFERROR(SUM(OSRRefE14_4x),0)</f>
        <v>0</v>
      </c>
    </row>
    <row r="29" spans="1:17" s="9" customFormat="1" hidden="1" outlineLevel="1" x14ac:dyDescent="0.3">
      <c r="A29" s="23"/>
      <c r="B29" s="10" t="str">
        <f>CONCATENATE("          ","5027", " - ","PURCHASES @ COST-SCHOOL SUPPLI")</f>
        <v xml:space="preserve">          5027 - PURCHASES @ COST-SCHOOL SUPPLI</v>
      </c>
      <c r="C29" s="22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0</v>
      </c>
    </row>
    <row r="30" spans="1:17" s="9" customFormat="1" hidden="1" outlineLevel="1" x14ac:dyDescent="0.3">
      <c r="A30" s="23"/>
      <c r="B30" s="10" t="str">
        <f>CONCATENATE("          ","5028", " - ","PURCHASES @ COST-ART/TECH")</f>
        <v xml:space="preserve">          5028 - PURCHASES @ COST-ART/TECH</v>
      </c>
      <c r="C30" s="22"/>
      <c r="D30" s="2"/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0</v>
      </c>
    </row>
    <row r="31" spans="1:17" s="9" customFormat="1" hidden="1" outlineLevel="1" x14ac:dyDescent="0.3">
      <c r="A31" s="23"/>
      <c r="B31" s="10" t="str">
        <f>CONCATENATE("          ","5031", " - ","PURCHASES @ COST-FOOD")</f>
        <v xml:space="preserve">          5031 - PURCHASES @ COST-FOOD</v>
      </c>
      <c r="C31" s="22"/>
      <c r="D31" s="2"/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SUM(OSRRefD14_7x)+IFERROR(SUM(OSRRefE14_7x),0)</f>
        <v>0</v>
      </c>
    </row>
    <row r="32" spans="1:17" s="9" customFormat="1" hidden="1" outlineLevel="1" x14ac:dyDescent="0.3">
      <c r="A32" s="23"/>
      <c r="B32" s="10" t="str">
        <f>CONCATENATE("          ","5040", " - ","PURCHASES @ COST-LOGO CLOTHING")</f>
        <v xml:space="preserve">          5040 - PURCHASES @ COST-LOGO CLOTHING</v>
      </c>
      <c r="C32" s="22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SUM(OSRRefD14_8x)+IFERROR(SUM(OSRRefE14_8x),0)</f>
        <v>0</v>
      </c>
    </row>
    <row r="33" spans="1:17" s="9" customFormat="1" hidden="1" outlineLevel="1" x14ac:dyDescent="0.3">
      <c r="A33" s="23"/>
      <c r="B33" s="10" t="str">
        <f>CONCATENATE("          ","5041", " - ","PURCHASES @ COST-LOGO GIFTS")</f>
        <v xml:space="preserve">          5041 - PURCHASES @ COST-LOGO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SUM(OSRRefD14_9x)+IFERROR(SUM(OSRRefE14_9x),0)</f>
        <v>0</v>
      </c>
    </row>
    <row r="34" spans="1:17" s="9" customFormat="1" hidden="1" outlineLevel="1" x14ac:dyDescent="0.3">
      <c r="A34" s="23"/>
      <c r="B34" s="10" t="str">
        <f>CONCATENATE("          ","5042", " - ","PURCHASES @ COST-EVERYDAY GIFT")</f>
        <v xml:space="preserve">          5042 - PURCHASES @ COST-EVERYDAY GIFT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SUM(OSRRefD14_10x)+IFERROR(SUM(OSRRefE14_10x),0)</f>
        <v>0</v>
      </c>
    </row>
    <row r="35" spans="1:17" s="9" customFormat="1" hidden="1" outlineLevel="1" x14ac:dyDescent="0.3">
      <c r="A35" s="23"/>
      <c r="B35" s="10" t="str">
        <f>CONCATENATE("          ","5043", " - ","PURCHASES @ COST-CARDS")</f>
        <v xml:space="preserve">          5043 - PURCHASES @ COST-CARDS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SUM(OSRRefD14_11x)+IFERROR(SUM(OSRRefE14_11x),0)</f>
        <v>0</v>
      </c>
    </row>
    <row r="36" spans="1:17" s="9" customFormat="1" hidden="1" outlineLevel="1" x14ac:dyDescent="0.3">
      <c r="A36" s="23"/>
      <c r="B36" s="10" t="str">
        <f>CONCATENATE("          ","5044", " - ","PURCHASES @ COST-ACCESSORIES")</f>
        <v xml:space="preserve">          5044 - PURCHASES @ COST-ACCESSORIES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SUM(OSRRefD14_12x)+IFERROR(SUM(OSRRefE14_12x),0)</f>
        <v>0</v>
      </c>
    </row>
    <row r="37" spans="1:17" s="9" customFormat="1" hidden="1" outlineLevel="1" x14ac:dyDescent="0.3">
      <c r="A37" s="23"/>
      <c r="B37" s="10" t="str">
        <f>CONCATENATE("          ","5045", " - ","PURCHASES @ COST-SPECIAL ORDER")</f>
        <v xml:space="preserve">          5045 - PURCHASES @ COST-SPECIAL ORDER</v>
      </c>
      <c r="C37" s="22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SUM(OSRRefD14_13x)+IFERROR(SUM(OSRRefE14_13x),0)</f>
        <v>0</v>
      </c>
    </row>
    <row r="38" spans="1:17" s="9" customFormat="1" hidden="1" outlineLevel="1" x14ac:dyDescent="0.3">
      <c r="A38" s="23"/>
      <c r="B38" s="10" t="str">
        <f>CONCATENATE("          ","5053", " - ","PURCHASES @ COST-FOOD")</f>
        <v xml:space="preserve">          5053 - PURCHASES @ COST-FOOD</v>
      </c>
      <c r="C38" s="22"/>
      <c r="D38" s="2">
        <v>26193.22</v>
      </c>
      <c r="E38" s="2">
        <v>271762.01</v>
      </c>
      <c r="F38" s="2">
        <v>418312.58</v>
      </c>
      <c r="G38" s="2">
        <v>526909.31999999995</v>
      </c>
      <c r="H38" s="2">
        <v>320688.57</v>
      </c>
      <c r="I38" s="2">
        <v>206258.18</v>
      </c>
      <c r="J38" s="2"/>
      <c r="K38" s="2"/>
      <c r="L38" s="2"/>
      <c r="M38" s="2"/>
      <c r="N38" s="2"/>
      <c r="O38" s="2"/>
      <c r="Q38" s="2">
        <f>SUM(OSRRefD14_14x)+IFERROR(SUM(OSRRefE14_14x),0)</f>
        <v>1770123.88</v>
      </c>
    </row>
    <row r="39" spans="1:17" s="9" customFormat="1" hidden="1" outlineLevel="1" x14ac:dyDescent="0.3">
      <c r="A39" s="23"/>
      <c r="B39" s="10" t="str">
        <f>CONCATENATE("          ","5059", " - ","PURCHASES @ COST-FOOD")</f>
        <v xml:space="preserve">          5059 - PURCHASES @ COST-FOOD</v>
      </c>
      <c r="C39" s="22"/>
      <c r="D39" s="2">
        <v>-4005</v>
      </c>
      <c r="E39" s="2">
        <v>-79171</v>
      </c>
      <c r="F39" s="2">
        <v>-2291</v>
      </c>
      <c r="G39" s="2">
        <v>9985.92</v>
      </c>
      <c r="H39" s="2">
        <v>19861.98</v>
      </c>
      <c r="I39" s="2">
        <v>69739.89</v>
      </c>
      <c r="J39" s="2"/>
      <c r="K39" s="2"/>
      <c r="L39" s="2"/>
      <c r="M39" s="2"/>
      <c r="N39" s="2"/>
      <c r="O39" s="2"/>
      <c r="Q39" s="2">
        <f>SUM(OSRRefD14_15x)+IFERROR(SUM(OSRRefE14_15x),0)</f>
        <v>14120.789999999994</v>
      </c>
    </row>
    <row r="40" spans="1:17" s="9" customFormat="1" hidden="1" outlineLevel="1" x14ac:dyDescent="0.3">
      <c r="A40" s="23"/>
      <c r="B40" s="10" t="str">
        <f>CONCATENATE("          ","5081", " - ","PURCHASES @ COST-ELECTRONICS")</f>
        <v xml:space="preserve">          5081 - PURCHASES @ COST-ELECTRONICS</v>
      </c>
      <c r="C40" s="22"/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SUM(OSRRefD14_16x)+IFERROR(SUM(OSRRefE14_16x),0)</f>
        <v>0</v>
      </c>
    </row>
    <row r="41" spans="1:17" s="9" customFormat="1" hidden="1" outlineLevel="1" x14ac:dyDescent="0.3">
      <c r="A41" s="23"/>
      <c r="B41" s="10" t="str">
        <f>CONCATENATE("          ","5082", " - ","PURCHASES @ COST-COMPUTER HARD")</f>
        <v xml:space="preserve">          5082 - PURCHASES @ COST-COMPUTER HARD</v>
      </c>
      <c r="C41" s="22"/>
      <c r="D41" s="2">
        <v>-10902.62</v>
      </c>
      <c r="E41" s="2">
        <v>-23501.200000000001</v>
      </c>
      <c r="F41" s="2">
        <v>-22380.03</v>
      </c>
      <c r="G41" s="2">
        <v>-20540.88</v>
      </c>
      <c r="H41" s="2">
        <v>-3384.72</v>
      </c>
      <c r="I41" s="2">
        <v>-6160.03</v>
      </c>
      <c r="J41" s="2"/>
      <c r="K41" s="2"/>
      <c r="L41" s="2"/>
      <c r="M41" s="2"/>
      <c r="N41" s="2"/>
      <c r="O41" s="2"/>
      <c r="Q41" s="2">
        <f>SUM(OSRRefD14_17x)+IFERROR(SUM(OSRRefE14_17x),0)</f>
        <v>-86869.48</v>
      </c>
    </row>
    <row r="42" spans="1:17" s="9" customFormat="1" hidden="1" outlineLevel="1" x14ac:dyDescent="0.3">
      <c r="A42" s="23"/>
      <c r="B42" s="10" t="str">
        <f>CONCATENATE("          ","5083", " - ","PURCHASES @ COST-COMPUTER EQUI")</f>
        <v xml:space="preserve">          5083 - PURCHASES @ COST-COMPUTER EQUI</v>
      </c>
      <c r="C42" s="22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SUM(OSRRefD14_18x)+IFERROR(SUM(OSRRefE14_18x),0)</f>
        <v>0</v>
      </c>
    </row>
    <row r="43" spans="1:17" s="9" customFormat="1" hidden="1" outlineLevel="1" x14ac:dyDescent="0.3">
      <c r="A43" s="23"/>
      <c r="B43" s="10" t="str">
        <f>CONCATENATE("          ","5085", " - ","PURCHASES @ COST-SOFTWARE")</f>
        <v xml:space="preserve">          5085 - PURCHASES @ COST-SOFTWARE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SUM(OSRRefD14_19x)+IFERROR(SUM(OSRRefE14_19x),0)</f>
        <v>0</v>
      </c>
    </row>
    <row r="44" spans="1:17" s="9" customFormat="1" hidden="1" outlineLevel="1" x14ac:dyDescent="0.3">
      <c r="A44" s="23"/>
      <c r="B44" s="10" t="str">
        <f>CONCATENATE("          ","5086", " - ","PURCHASES @ COST-COMPUTER SUPP")</f>
        <v xml:space="preserve">          5086 - PURCHASES @ COST-COMPUTER SUPP</v>
      </c>
      <c r="C44" s="22"/>
      <c r="D44" s="2">
        <v>0</v>
      </c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Q44" s="2">
        <f>SUM(OSRRefD14_20x)+IFERROR(SUM(OSRRefE14_20x),0)</f>
        <v>0</v>
      </c>
    </row>
    <row r="45" spans="1:17" s="9" customFormat="1" hidden="1" outlineLevel="1" x14ac:dyDescent="0.3">
      <c r="A45" s="23"/>
      <c r="B45" s="10" t="str">
        <f>CONCATENATE("          ","5200", " - ","PURCHASES OFFSET")</f>
        <v xml:space="preserve">          5200 - PURCHASES OFFSET</v>
      </c>
      <c r="C45" s="22"/>
      <c r="D45" s="2">
        <v>-443731.32</v>
      </c>
      <c r="E45" s="2">
        <v>-589608.85</v>
      </c>
      <c r="F45" s="2">
        <v>-866523.34</v>
      </c>
      <c r="G45" s="2">
        <v>-899387.86</v>
      </c>
      <c r="H45" s="2">
        <v>427.46</v>
      </c>
      <c r="I45" s="2">
        <v>-479454</v>
      </c>
      <c r="J45" s="2"/>
      <c r="K45" s="2"/>
      <c r="L45" s="2"/>
      <c r="M45" s="2"/>
      <c r="N45" s="2"/>
      <c r="O45" s="2"/>
      <c r="Q45" s="2">
        <f>SUM(OSRRefD14_21x)+IFERROR(SUM(OSRRefE14_21x),0)</f>
        <v>-3278277.9099999997</v>
      </c>
    </row>
    <row r="46" spans="1:17" s="9" customFormat="1" hidden="1" outlineLevel="1" x14ac:dyDescent="0.3">
      <c r="A46" s="23"/>
      <c r="B46" s="10" t="str">
        <f>CONCATENATE("          ","5300", " - ","COG$ OFFSET")</f>
        <v xml:space="preserve">          5300 - COG$ OFFSET</v>
      </c>
      <c r="C46" s="22"/>
      <c r="D46" s="2">
        <v>218685.5</v>
      </c>
      <c r="E46" s="2">
        <v>1104681.67</v>
      </c>
      <c r="F46" s="2">
        <v>478937.18</v>
      </c>
      <c r="G46" s="2">
        <v>457087.53</v>
      </c>
      <c r="H46" s="2">
        <v>224057.66</v>
      </c>
      <c r="I46" s="2">
        <v>386623.33</v>
      </c>
      <c r="J46" s="2"/>
      <c r="K46" s="2"/>
      <c r="L46" s="2"/>
      <c r="M46" s="2"/>
      <c r="N46" s="2"/>
      <c r="O46" s="2"/>
      <c r="Q46" s="2">
        <f>SUM(OSRRefD14_22x)+IFERROR(SUM(OSRRefE14_22x),0)</f>
        <v>2870072.87</v>
      </c>
    </row>
    <row r="47" spans="1:17" s="9" customFormat="1" hidden="1" outlineLevel="1" x14ac:dyDescent="0.3">
      <c r="A47" s="23"/>
      <c r="B47" s="10" t="str">
        <f>CONCATENATE("          ","5500", " - ","FREIGHT-IN")</f>
        <v xml:space="preserve">          5500 - FREIGHT-IN</v>
      </c>
      <c r="C47" s="22"/>
      <c r="D47" s="2">
        <v>3605.14</v>
      </c>
      <c r="E47" s="2">
        <v>6605.18</v>
      </c>
      <c r="F47" s="2">
        <v>17166.12</v>
      </c>
      <c r="G47" s="2">
        <v>22303.71</v>
      </c>
      <c r="H47" s="2">
        <v>11121.1</v>
      </c>
      <c r="I47" s="2">
        <v>9525.24</v>
      </c>
      <c r="J47" s="2"/>
      <c r="K47" s="2"/>
      <c r="L47" s="2"/>
      <c r="M47" s="2"/>
      <c r="N47" s="2"/>
      <c r="O47" s="2"/>
      <c r="Q47" s="2">
        <f>SUM(OSRRefD14_23x)+IFERROR(SUM(OSRRefE14_23x),0)</f>
        <v>70326.489999999991</v>
      </c>
    </row>
    <row r="48" spans="1:17" s="9" customFormat="1" hidden="1" outlineLevel="1" x14ac:dyDescent="0.3">
      <c r="A48" s="23"/>
      <c r="B48" s="10" t="str">
        <f>CONCATENATE("          ","5501", " - ","FREIGHT-IN-NEW TEXT")</f>
        <v xml:space="preserve">          5501 - FREIGHT-IN-NEW TEXT</v>
      </c>
      <c r="C48" s="22"/>
      <c r="D48" s="2">
        <v>0</v>
      </c>
      <c r="E48" s="2">
        <v>0</v>
      </c>
      <c r="F48" s="2">
        <v>0</v>
      </c>
      <c r="G48" s="2">
        <v>0</v>
      </c>
      <c r="H48" s="2"/>
      <c r="I48" s="2"/>
      <c r="J48" s="2"/>
      <c r="K48" s="2"/>
      <c r="L48" s="2"/>
      <c r="M48" s="2"/>
      <c r="N48" s="2"/>
      <c r="O48" s="2"/>
      <c r="Q48" s="2">
        <f>SUM(OSRRefD14_24x)+IFERROR(SUM(OSRRefE14_24x),0)</f>
        <v>0</v>
      </c>
    </row>
    <row r="49" spans="1:17" s="9" customFormat="1" hidden="1" outlineLevel="1" x14ac:dyDescent="0.3">
      <c r="A49" s="23"/>
      <c r="B49" s="10" t="str">
        <f>CONCATENATE("          ","5502", " - ","FREIGHT-IN-USED TEXT")</f>
        <v xml:space="preserve">          5502 - FREIGHT-IN-USED TEXT</v>
      </c>
      <c r="C49" s="22"/>
      <c r="D49" s="2">
        <v>0</v>
      </c>
      <c r="E49" s="2">
        <v>0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Q49" s="2">
        <f>SUM(OSRRefD14_25x)+IFERROR(SUM(OSRRefE14_25x),0)</f>
        <v>0</v>
      </c>
    </row>
    <row r="50" spans="1:17" s="9" customFormat="1" hidden="1" outlineLevel="1" x14ac:dyDescent="0.3">
      <c r="A50" s="23"/>
      <c r="B50" s="10" t="str">
        <f>CONCATENATE("          ","5518", " - ","FREIGHT-IN-STUDY GUIDES")</f>
        <v xml:space="preserve">          5518 - FREIGHT-IN-STUDY GUIDES</v>
      </c>
      <c r="C50" s="22"/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SUM(OSRRefD14_26x)+IFERROR(SUM(OSRRefE14_26x),0)</f>
        <v>0</v>
      </c>
    </row>
    <row r="51" spans="1:17" s="9" customFormat="1" hidden="1" outlineLevel="1" x14ac:dyDescent="0.3">
      <c r="A51" s="23"/>
      <c r="B51" s="10" t="str">
        <f>CONCATENATE("          ","5527", " - ","FREIGHT-IN-SCHOOL SUPPLIES")</f>
        <v xml:space="preserve">          5527 - FREIGHT-IN-SCHOOL SUPPLIES</v>
      </c>
      <c r="C51" s="22"/>
      <c r="D51" s="2"/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SUM(OSRRefD14_27x)+IFERROR(SUM(OSRRefE14_27x),0)</f>
        <v>0</v>
      </c>
    </row>
    <row r="52" spans="1:17" s="9" customFormat="1" hidden="1" outlineLevel="1" x14ac:dyDescent="0.3">
      <c r="A52" s="23"/>
      <c r="B52" s="10" t="str">
        <f>CONCATENATE("          ","5528", " - ","FREIGHT-IN-ART/TECH")</f>
        <v xml:space="preserve">          5528 - FREIGHT-IN-ART/TECH</v>
      </c>
      <c r="C52" s="22"/>
      <c r="D52" s="2"/>
      <c r="E52" s="2">
        <v>0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/>
      <c r="Q52" s="2">
        <f>SUM(OSRRefD14_28x)+IFERROR(SUM(OSRRefE14_28x),0)</f>
        <v>0</v>
      </c>
    </row>
    <row r="53" spans="1:17" s="9" customFormat="1" hidden="1" outlineLevel="1" x14ac:dyDescent="0.3">
      <c r="A53" s="23"/>
      <c r="B53" s="10" t="str">
        <f>CONCATENATE("          ","5540", " - ","FREIGHT-IN-LOGO CLOTHING")</f>
        <v xml:space="preserve">          5540 - FREIGHT-IN-LOGO CLOTHING</v>
      </c>
      <c r="C53" s="22"/>
      <c r="D53" s="2">
        <v>0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Q53" s="2">
        <f>SUM(OSRRefD14_29x)+IFERROR(SUM(OSRRefE14_29x),0)</f>
        <v>0</v>
      </c>
    </row>
    <row r="54" spans="1:17" s="9" customFormat="1" hidden="1" outlineLevel="1" x14ac:dyDescent="0.3">
      <c r="A54" s="23"/>
      <c r="B54" s="10" t="str">
        <f>CONCATENATE("          ","5541", " - ","FREIGHT-IN-LOGO GIFTS")</f>
        <v xml:space="preserve">          5541 - FREIGHT-IN-LOGO GIFTS</v>
      </c>
      <c r="C54" s="22"/>
      <c r="D54" s="2">
        <v>0</v>
      </c>
      <c r="E54" s="2">
        <v>0</v>
      </c>
      <c r="F54" s="2">
        <v>0</v>
      </c>
      <c r="G54" s="2"/>
      <c r="H54" s="2"/>
      <c r="I54" s="2"/>
      <c r="J54" s="2"/>
      <c r="K54" s="2"/>
      <c r="L54" s="2"/>
      <c r="M54" s="2"/>
      <c r="N54" s="2"/>
      <c r="O54" s="2"/>
      <c r="Q54" s="2">
        <f>SUM(OSRRefD14_30x)+IFERROR(SUM(OSRRefE14_30x),0)</f>
        <v>0</v>
      </c>
    </row>
    <row r="55" spans="1:17" s="9" customFormat="1" hidden="1" outlineLevel="1" x14ac:dyDescent="0.3">
      <c r="A55" s="23"/>
      <c r="B55" s="10" t="str">
        <f>CONCATENATE("          ","5542", " - ","FREIGHT-IN-EVERYDAY GIFTS")</f>
        <v xml:space="preserve">          5542 - FREIGHT-IN-EVERYDAY GIFTS</v>
      </c>
      <c r="C55" s="22"/>
      <c r="D55" s="2">
        <v>0</v>
      </c>
      <c r="E55" s="2"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Q55" s="2">
        <f>SUM(OSRRefD14_31x)+IFERROR(SUM(OSRRefE14_31x),0)</f>
        <v>0</v>
      </c>
    </row>
    <row r="56" spans="1:17" s="9" customFormat="1" hidden="1" outlineLevel="1" x14ac:dyDescent="0.3">
      <c r="A56" s="23"/>
      <c r="B56" s="10" t="str">
        <f>CONCATENATE("          ","5544", " - ","FREIGHT-IN-ACCESSORIES")</f>
        <v xml:space="preserve">          5544 - FREIGHT-IN-ACCESSORIES</v>
      </c>
      <c r="C56" s="22"/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Q56" s="2">
        <f>SUM(OSRRefD14_32x)+IFERROR(SUM(OSRRefE14_32x),0)</f>
        <v>0</v>
      </c>
    </row>
    <row r="57" spans="1:17" s="9" customFormat="1" hidden="1" outlineLevel="1" x14ac:dyDescent="0.3">
      <c r="A57" s="23"/>
      <c r="B57" s="10" t="str">
        <f>CONCATENATE("          ","5545", " - ","FREIGHT-IN-SPECIAL ORDERS")</f>
        <v xml:space="preserve">          5545 - FREIGHT-IN-SPECIAL ORDERS</v>
      </c>
      <c r="C57" s="22"/>
      <c r="D57" s="2">
        <v>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Q57" s="2">
        <f>SUM(OSRRefD14_33x)+IFERROR(SUM(OSRRefE14_33x),0)</f>
        <v>0</v>
      </c>
    </row>
    <row r="58" spans="1:17" s="9" customFormat="1" hidden="1" outlineLevel="1" x14ac:dyDescent="0.3">
      <c r="A58" s="23"/>
      <c r="B58" s="10" t="str">
        <f>CONCATENATE("          ","5583", " - ","FREIGHT-IN-COMPUTER EQUIPMENT")</f>
        <v xml:space="preserve">          5583 - FREIGHT-IN-COMPUTER EQUIPMENT</v>
      </c>
      <c r="C58" s="22"/>
      <c r="D58" s="2">
        <v>0</v>
      </c>
      <c r="E58" s="2"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Q58" s="2">
        <f>SUM(OSRRefD14_34x)+IFERROR(SUM(OSRRefE14_34x),0)</f>
        <v>0</v>
      </c>
    </row>
    <row r="59" spans="1:17" x14ac:dyDescent="0.3">
      <c r="A59" s="5"/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6"/>
      <c r="B60" s="17" t="s">
        <v>105</v>
      </c>
      <c r="C60" s="17"/>
      <c r="D60" s="7">
        <f t="shared" ref="D60:O60" si="2">IFERROR(+D10-D23, 0)</f>
        <v>272168.04999999987</v>
      </c>
      <c r="E60" s="7">
        <f t="shared" si="2"/>
        <v>1011811.0299999996</v>
      </c>
      <c r="F60" s="7">
        <f t="shared" si="2"/>
        <v>1431011.1400000001</v>
      </c>
      <c r="G60" s="7">
        <f t="shared" si="2"/>
        <v>1553123.0100000002</v>
      </c>
      <c r="H60" s="7">
        <f t="shared" si="2"/>
        <v>1244762.42</v>
      </c>
      <c r="I60" s="7">
        <f t="shared" si="2"/>
        <v>1044058.7100000002</v>
      </c>
      <c r="J60" s="7">
        <f t="shared" si="2"/>
        <v>1173392</v>
      </c>
      <c r="K60" s="7">
        <f t="shared" si="2"/>
        <v>1444868</v>
      </c>
      <c r="L60" s="7">
        <f t="shared" si="2"/>
        <v>1342842</v>
      </c>
      <c r="M60" s="7">
        <f t="shared" si="2"/>
        <v>1353251</v>
      </c>
      <c r="N60" s="7">
        <f t="shared" si="2"/>
        <v>891332</v>
      </c>
      <c r="O60" s="7">
        <f t="shared" si="2"/>
        <v>248630</v>
      </c>
      <c r="Q60" s="7">
        <f>IFERROR(+Q10-Q23, 0)</f>
        <v>13011249.360000001</v>
      </c>
    </row>
    <row r="61" spans="1:17" s="6" customFormat="1" x14ac:dyDescent="0.3">
      <c r="B61" s="16"/>
      <c r="C61" s="16"/>
      <c r="D61" s="4">
        <f t="shared" ref="D61:O61" si="3">IFERROR(D60/D10, 0)</f>
        <v>0.53985617907778782</v>
      </c>
      <c r="E61" s="4">
        <f t="shared" si="3"/>
        <v>0.40658933318444762</v>
      </c>
      <c r="F61" s="4">
        <f t="shared" si="3"/>
        <v>0.60904381053384438</v>
      </c>
      <c r="G61" s="4">
        <f t="shared" si="3"/>
        <v>0.61412310616943422</v>
      </c>
      <c r="H61" s="4">
        <f t="shared" si="3"/>
        <v>0.68911723537394054</v>
      </c>
      <c r="I61" s="4">
        <f t="shared" si="3"/>
        <v>0.61488113478907724</v>
      </c>
      <c r="J61" s="4">
        <f t="shared" si="3"/>
        <v>0.4118550768486659</v>
      </c>
      <c r="K61" s="4">
        <f t="shared" si="3"/>
        <v>0.62530911268969802</v>
      </c>
      <c r="L61" s="4">
        <f t="shared" si="3"/>
        <v>0.65085432864207471</v>
      </c>
      <c r="M61" s="4">
        <f t="shared" si="3"/>
        <v>0.62627748711695053</v>
      </c>
      <c r="N61" s="4">
        <f t="shared" si="3"/>
        <v>0.52548136444564975</v>
      </c>
      <c r="O61" s="4">
        <f t="shared" si="3"/>
        <v>0.47073324043500653</v>
      </c>
      <c r="P61" s="18"/>
      <c r="Q61" s="4">
        <f>IFERROR(Q60/Q10, 0)</f>
        <v>0.56610866267582671</v>
      </c>
    </row>
    <row r="62" spans="1:17" x14ac:dyDescent="0.3">
      <c r="A62" s="5"/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s="15" customFormat="1" x14ac:dyDescent="0.3">
      <c r="A63" s="6"/>
      <c r="B63" s="16" t="s">
        <v>255</v>
      </c>
      <c r="C63" s="6"/>
      <c r="D63" s="12">
        <f>SUM(OSRRefD20x_0)</f>
        <v>878488.93999999971</v>
      </c>
      <c r="E63" s="12">
        <f>SUM(OSRRefD20x_1)</f>
        <v>921450.81</v>
      </c>
      <c r="F63" s="12">
        <f>SUM(OSRRefD20x_2)</f>
        <v>1014621.9199999999</v>
      </c>
      <c r="G63" s="12">
        <f>SUM(OSRRefD20x_3)</f>
        <v>1365689.33</v>
      </c>
      <c r="H63" s="12">
        <f>SUM(OSRRefD20x_4)</f>
        <v>959248.34999999986</v>
      </c>
      <c r="I63" s="12">
        <f>SUM(OSRRefD20x_5)</f>
        <v>962901.27</v>
      </c>
      <c r="J63" s="12">
        <f>SUM(OSRRefE20x_0)</f>
        <v>1240836.7287411988</v>
      </c>
      <c r="K63" s="12">
        <f>SUM(OSRRefE20x_1)</f>
        <v>1195430.2353423792</v>
      </c>
      <c r="L63" s="12">
        <f>SUM(OSRRefE20x_2)</f>
        <v>1139370.5611706516</v>
      </c>
      <c r="M63" s="12">
        <f>SUM(OSRRefE20x_3)</f>
        <v>1280451.8692051908</v>
      </c>
      <c r="N63" s="12">
        <f>SUM(OSRRefE20x_4)</f>
        <v>991100.01926988899</v>
      </c>
      <c r="O63" s="12">
        <f>SUM(OSRRefE20x_5)</f>
        <v>793229.76545218984</v>
      </c>
      <c r="Q63" s="12">
        <f>SUM(OSRRefG20x)</f>
        <v>12742819.799181495</v>
      </c>
    </row>
    <row r="64" spans="1:17" s="35" customFormat="1" collapsed="1" x14ac:dyDescent="0.3">
      <c r="A64" s="34"/>
      <c r="B64" s="14" t="str">
        <f>CONCATENATE("     ","*Benefits                                         ")</f>
        <v xml:space="preserve">     *Benefits                                         </v>
      </c>
      <c r="C64" s="14"/>
      <c r="D64" s="1">
        <f>SUM(OSRRefD21_0x_0)</f>
        <v>146522.37</v>
      </c>
      <c r="E64" s="1">
        <f>SUM(OSRRefD21_0x_1)</f>
        <v>161129.25999999998</v>
      </c>
      <c r="F64" s="1">
        <f>SUM(OSRRefD21_0x_2)</f>
        <v>167059.87</v>
      </c>
      <c r="G64" s="1">
        <f>SUM(OSRRefD21_0x_3)</f>
        <v>210175.09000000003</v>
      </c>
      <c r="H64" s="1">
        <f>SUM(OSRRefD21_0x_4)</f>
        <v>175467.33</v>
      </c>
      <c r="I64" s="1">
        <f>SUM(OSRRefD21_0x_5)</f>
        <v>167279.97</v>
      </c>
      <c r="J64" s="1">
        <f>SUM(OSRRefE21_0x_0)</f>
        <v>223479.91882540099</v>
      </c>
      <c r="K64" s="1">
        <f>SUM(OSRRefE21_0x_1)</f>
        <v>194840.64955674118</v>
      </c>
      <c r="L64" s="1">
        <f>SUM(OSRRefE21_0x_2)</f>
        <v>192841.58364501339</v>
      </c>
      <c r="M64" s="1">
        <f>SUM(OSRRefE21_0x_3)</f>
        <v>227142.44528939298</v>
      </c>
      <c r="N64" s="1">
        <f>SUM(OSRRefE21_0x_4)</f>
        <v>186120.15636425081</v>
      </c>
      <c r="O64" s="1">
        <f>SUM(OSRRefE21_0x_5)</f>
        <v>178852.28590155178</v>
      </c>
      <c r="Q64" s="2">
        <f>SUM(OSRRefD20_0x)+IFERROR(SUM(OSRRefE20_0x),0)</f>
        <v>2230910.9295823509</v>
      </c>
    </row>
    <row r="65" spans="1:17" s="35" customFormat="1" hidden="1" outlineLevel="1" x14ac:dyDescent="0.3">
      <c r="A65" s="34"/>
      <c r="B65" s="10" t="str">
        <f>CONCATENATE("          ","6111", " - ","F.I.C.A.")</f>
        <v xml:space="preserve">          6111 - F.I.C.A.</v>
      </c>
      <c r="C65" s="14"/>
      <c r="D65" s="20">
        <v>21298.06</v>
      </c>
      <c r="E65" s="20">
        <v>27964.45</v>
      </c>
      <c r="F65" s="20">
        <v>27493</v>
      </c>
      <c r="G65" s="20">
        <v>38709.18</v>
      </c>
      <c r="H65" s="20">
        <v>26684.97</v>
      </c>
      <c r="I65" s="20">
        <v>24199.27</v>
      </c>
      <c r="J65" s="20">
        <v>33100.191330917303</v>
      </c>
      <c r="K65" s="20">
        <v>26443.461509289002</v>
      </c>
      <c r="L65" s="20">
        <v>26081.272126215001</v>
      </c>
      <c r="M65" s="20">
        <v>32716.4553702173</v>
      </c>
      <c r="N65" s="20">
        <v>25338.151851836999</v>
      </c>
      <c r="O65" s="20">
        <v>24882.741535965</v>
      </c>
      <c r="P65" s="36"/>
      <c r="Q65" s="2">
        <f>SUM(OSRRefD21_0_0x)+IFERROR(SUM(OSRRefE21_0_0x),0)</f>
        <v>334911.20372444059</v>
      </c>
    </row>
    <row r="66" spans="1:17" s="35" customFormat="1" hidden="1" outlineLevel="1" x14ac:dyDescent="0.3">
      <c r="A66" s="34"/>
      <c r="B66" s="10" t="str">
        <f>CONCATENATE("          ","6112", " - ","COMPENSATION INSURANCE")</f>
        <v xml:space="preserve">          6112 - COMPENSATION INSURANCE</v>
      </c>
      <c r="C66" s="14"/>
      <c r="D66" s="20">
        <v>6528.35</v>
      </c>
      <c r="E66" s="20">
        <v>8890.15</v>
      </c>
      <c r="F66" s="20">
        <v>12742.74</v>
      </c>
      <c r="G66" s="20">
        <v>19703.22</v>
      </c>
      <c r="H66" s="20">
        <v>13414.4</v>
      </c>
      <c r="I66" s="20">
        <v>12894.97</v>
      </c>
      <c r="J66" s="20">
        <v>19158.200620622301</v>
      </c>
      <c r="K66" s="20">
        <v>18701.186154933799</v>
      </c>
      <c r="L66" s="20">
        <v>18260.5605791138</v>
      </c>
      <c r="M66" s="20">
        <v>21251.878469622301</v>
      </c>
      <c r="N66" s="20">
        <v>14790.8378878238</v>
      </c>
      <c r="O66" s="20">
        <v>10602.281586113801</v>
      </c>
      <c r="P66" s="36"/>
      <c r="Q66" s="2">
        <f>SUM(OSRRefD21_0_1x)+IFERROR(SUM(OSRRefE21_0_1x),0)</f>
        <v>176938.77529822983</v>
      </c>
    </row>
    <row r="67" spans="1:17" s="35" customFormat="1" hidden="1" outlineLevel="1" x14ac:dyDescent="0.3">
      <c r="A67" s="34"/>
      <c r="B67" s="10" t="str">
        <f>CONCATENATE("          ","6113", " - ","GROUP INSURANCE")</f>
        <v xml:space="preserve">          6113 - GROUP INSURANCE</v>
      </c>
      <c r="C67" s="14"/>
      <c r="D67" s="20">
        <v>72477.48</v>
      </c>
      <c r="E67" s="20">
        <v>73842.92</v>
      </c>
      <c r="F67" s="20">
        <v>76355.58</v>
      </c>
      <c r="G67" s="20">
        <v>75366.91</v>
      </c>
      <c r="H67" s="20">
        <v>77438.84</v>
      </c>
      <c r="I67" s="20">
        <v>75380.06</v>
      </c>
      <c r="J67" s="20">
        <v>108818.476923077</v>
      </c>
      <c r="K67" s="20">
        <v>96396.076923076893</v>
      </c>
      <c r="L67" s="20">
        <v>95602.323076923101</v>
      </c>
      <c r="M67" s="20">
        <v>110469.769230769</v>
      </c>
      <c r="N67" s="20">
        <v>96122.3384615385</v>
      </c>
      <c r="O67" s="20">
        <v>97043.6615384615</v>
      </c>
      <c r="P67" s="36"/>
      <c r="Q67" s="2">
        <f>SUM(OSRRefD21_0_2x)+IFERROR(SUM(OSRRefE21_0_2x),0)</f>
        <v>1055314.4361538459</v>
      </c>
    </row>
    <row r="68" spans="1:17" s="35" customFormat="1" hidden="1" outlineLevel="1" x14ac:dyDescent="0.3">
      <c r="A68" s="34"/>
      <c r="B68" s="10" t="str">
        <f>CONCATENATE("          ","6114", " - ","STATE UNEMPLOYMENT INSURANCE")</f>
        <v xml:space="preserve">          6114 - STATE UNEMPLOYMENT INSURANCE</v>
      </c>
      <c r="C68" s="14"/>
      <c r="D68" s="20">
        <v>753.55</v>
      </c>
      <c r="E68" s="20">
        <v>985.54</v>
      </c>
      <c r="F68" s="20">
        <v>1261.27</v>
      </c>
      <c r="G68" s="20">
        <v>1883.57</v>
      </c>
      <c r="H68" s="20">
        <v>1296.1199999999999</v>
      </c>
      <c r="I68" s="20">
        <v>1239.96</v>
      </c>
      <c r="J68" s="20">
        <v>1440.1324808325001</v>
      </c>
      <c r="K68" s="20">
        <v>1268.5062364800001</v>
      </c>
      <c r="L68" s="20">
        <v>1231.7590697999999</v>
      </c>
      <c r="M68" s="20">
        <v>1451.9661488325</v>
      </c>
      <c r="N68" s="20">
        <v>1044.8096250900001</v>
      </c>
      <c r="O68" s="20">
        <v>799.28587304999996</v>
      </c>
      <c r="P68" s="36"/>
      <c r="Q68" s="2">
        <f>SUM(OSRRefD21_0_3x)+IFERROR(SUM(OSRRefE21_0_3x),0)</f>
        <v>14656.469434085</v>
      </c>
    </row>
    <row r="69" spans="1:17" s="35" customFormat="1" hidden="1" outlineLevel="1" x14ac:dyDescent="0.3">
      <c r="A69" s="34"/>
      <c r="B69" s="10" t="str">
        <f>CONCATENATE("          ","6115", " - ","P.E.R.S.")</f>
        <v xml:space="preserve">          6115 - P.E.R.S.</v>
      </c>
      <c r="C69" s="14"/>
      <c r="D69" s="20">
        <v>13543.27</v>
      </c>
      <c r="E69" s="20">
        <v>13870.61</v>
      </c>
      <c r="F69" s="20">
        <v>14264.99</v>
      </c>
      <c r="G69" s="20">
        <v>21103.68</v>
      </c>
      <c r="H69" s="20">
        <v>16626.18</v>
      </c>
      <c r="I69" s="20">
        <v>14175.76</v>
      </c>
      <c r="J69" s="20">
        <v>15061.18916975</v>
      </c>
      <c r="K69" s="20">
        <v>12048.9513358</v>
      </c>
      <c r="L69" s="20">
        <v>12048.9513358</v>
      </c>
      <c r="M69" s="20">
        <v>15061.18916975</v>
      </c>
      <c r="N69" s="20">
        <v>12048.9513358</v>
      </c>
      <c r="O69" s="20">
        <v>12048.9513358</v>
      </c>
      <c r="P69" s="36"/>
      <c r="Q69" s="2">
        <f>SUM(OSRRefD21_0_4x)+IFERROR(SUM(OSRRefE21_0_4x),0)</f>
        <v>171902.6736827</v>
      </c>
    </row>
    <row r="70" spans="1:17" s="35" customFormat="1" hidden="1" outlineLevel="1" x14ac:dyDescent="0.3">
      <c r="A70" s="34"/>
      <c r="B70" s="10" t="str">
        <f>CONCATENATE("          ","6116", " - ","EDUCATIONAL BENEFITS")</f>
        <v xml:space="preserve">          6116 - EDUCATIONAL BENEFITS</v>
      </c>
      <c r="C70" s="14"/>
      <c r="D70" s="20"/>
      <c r="E70" s="20"/>
      <c r="F70" s="20"/>
      <c r="G70" s="20"/>
      <c r="H70" s="20"/>
      <c r="I70" s="20"/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36"/>
      <c r="Q70" s="2">
        <f>SUM(OSRRefD21_0_5x)+IFERROR(SUM(OSRRefE21_0_5x),0)</f>
        <v>0</v>
      </c>
    </row>
    <row r="71" spans="1:17" s="35" customFormat="1" hidden="1" outlineLevel="1" x14ac:dyDescent="0.3">
      <c r="A71" s="34"/>
      <c r="B71" s="10" t="str">
        <f>CONCATENATE("          ","6117", " - ","RETIREMENT STAFF HOURLY")</f>
        <v xml:space="preserve">          6117 - RETIREMENT STAFF HOURLY</v>
      </c>
      <c r="C71" s="14"/>
      <c r="D71" s="20">
        <v>2099.73</v>
      </c>
      <c r="E71" s="20">
        <v>3324.27</v>
      </c>
      <c r="F71" s="20">
        <v>1630.8</v>
      </c>
      <c r="G71" s="20">
        <v>1504.14</v>
      </c>
      <c r="H71" s="20">
        <v>2512.9899999999998</v>
      </c>
      <c r="I71" s="20">
        <v>2364.52</v>
      </c>
      <c r="J71" s="20"/>
      <c r="K71" s="20"/>
      <c r="L71" s="20"/>
      <c r="M71" s="20"/>
      <c r="N71" s="20"/>
      <c r="O71" s="20"/>
      <c r="P71" s="36"/>
      <c r="Q71" s="2">
        <f>SUM(OSRRefD21_0_6x)+IFERROR(SUM(OSRRefE21_0_6x),0)</f>
        <v>13436.45</v>
      </c>
    </row>
    <row r="72" spans="1:17" s="35" customFormat="1" hidden="1" outlineLevel="1" x14ac:dyDescent="0.3">
      <c r="A72" s="34"/>
      <c r="B72" s="10" t="str">
        <f>CONCATENATE("          ","6118", " - ","VACATION")</f>
        <v xml:space="preserve">          6118 - VACATION</v>
      </c>
      <c r="C72" s="14"/>
      <c r="D72" s="20">
        <v>14867.33</v>
      </c>
      <c r="E72" s="20">
        <v>15723.59</v>
      </c>
      <c r="F72" s="20">
        <v>15332.37</v>
      </c>
      <c r="G72" s="20">
        <v>23268.83</v>
      </c>
      <c r="H72" s="20">
        <v>16474.259999999998</v>
      </c>
      <c r="I72" s="20">
        <v>16766.78</v>
      </c>
      <c r="J72" s="20">
        <v>15554.5319237596</v>
      </c>
      <c r="K72" s="20">
        <v>12553.4688542077</v>
      </c>
      <c r="L72" s="20">
        <v>12509.758230207701</v>
      </c>
      <c r="M72" s="20">
        <v>15645.6767237596</v>
      </c>
      <c r="N72" s="20">
        <v>12538.473702207701</v>
      </c>
      <c r="O72" s="20">
        <v>12589.631430207701</v>
      </c>
      <c r="P72" s="36"/>
      <c r="Q72" s="2">
        <f>SUM(OSRRefD21_0_7x)+IFERROR(SUM(OSRRefE21_0_7x),0)</f>
        <v>183824.70086435002</v>
      </c>
    </row>
    <row r="73" spans="1:17" s="35" customFormat="1" hidden="1" outlineLevel="1" x14ac:dyDescent="0.3">
      <c r="A73" s="34"/>
      <c r="B73" s="10" t="str">
        <f>CONCATENATE("          ","6119", " - ","SICK LEAVE")</f>
        <v xml:space="preserve">          6119 - SICK LEAVE</v>
      </c>
      <c r="C73" s="14"/>
      <c r="D73" s="20">
        <v>10081.73</v>
      </c>
      <c r="E73" s="20">
        <v>10642.12</v>
      </c>
      <c r="F73" s="20">
        <v>11346.47</v>
      </c>
      <c r="G73" s="20">
        <v>16802.82</v>
      </c>
      <c r="H73" s="20">
        <v>11924.32</v>
      </c>
      <c r="I73" s="20">
        <v>12175.46</v>
      </c>
      <c r="J73" s="20">
        <v>21377.196376442302</v>
      </c>
      <c r="K73" s="20">
        <v>18642.998542953799</v>
      </c>
      <c r="L73" s="20">
        <v>18160.959226953801</v>
      </c>
      <c r="M73" s="20">
        <v>21375.510176442302</v>
      </c>
      <c r="N73" s="20">
        <v>15450.5934999538</v>
      </c>
      <c r="O73" s="20">
        <v>12115.7326019538</v>
      </c>
      <c r="P73" s="36"/>
      <c r="Q73" s="2">
        <f>SUM(OSRRefD21_0_8x)+IFERROR(SUM(OSRRefE21_0_8x),0)</f>
        <v>180095.9104246998</v>
      </c>
    </row>
    <row r="74" spans="1:17" s="35" customFormat="1" hidden="1" outlineLevel="1" x14ac:dyDescent="0.3">
      <c r="A74" s="34"/>
      <c r="B74" s="10" t="str">
        <f>CONCATENATE("          ","6156", " - ","EMPLOYEE MEALS")</f>
        <v xml:space="preserve">          6156 - EMPLOYEE MEALS</v>
      </c>
      <c r="C74" s="14"/>
      <c r="D74" s="20">
        <v>4872.87</v>
      </c>
      <c r="E74" s="20">
        <v>5885.61</v>
      </c>
      <c r="F74" s="20">
        <v>6632.65</v>
      </c>
      <c r="G74" s="20">
        <v>11832.74</v>
      </c>
      <c r="H74" s="20">
        <v>9095.25</v>
      </c>
      <c r="I74" s="20">
        <v>8083.19</v>
      </c>
      <c r="J74" s="20">
        <v>8970</v>
      </c>
      <c r="K74" s="20">
        <v>8786</v>
      </c>
      <c r="L74" s="20">
        <v>8946</v>
      </c>
      <c r="M74" s="20">
        <v>9170</v>
      </c>
      <c r="N74" s="20">
        <v>8786</v>
      </c>
      <c r="O74" s="20">
        <v>8770</v>
      </c>
      <c r="P74" s="36"/>
      <c r="Q74" s="2">
        <f>SUM(OSRRefD21_0_9x)+IFERROR(SUM(OSRRefE21_0_9x),0)</f>
        <v>99830.31</v>
      </c>
    </row>
    <row r="75" spans="1:17" s="35" customFormat="1" collapsed="1" x14ac:dyDescent="0.3">
      <c r="A75" s="34"/>
      <c r="B75" s="14" t="str">
        <f>CONCATENATE("     ","*Payroll                                          ")</f>
        <v xml:space="preserve">     *Payroll                                          </v>
      </c>
      <c r="C75" s="14"/>
      <c r="D75" s="1">
        <f>SUM(OSRRefD21_1x_0)</f>
        <v>348552.56</v>
      </c>
      <c r="E75" s="1">
        <f>SUM(OSRRefD21_1x_1)</f>
        <v>417207.10000000003</v>
      </c>
      <c r="F75" s="1">
        <f>SUM(OSRRefD21_1x_2)</f>
        <v>481872.38000000006</v>
      </c>
      <c r="G75" s="1">
        <f>SUM(OSRRefD21_1x_3)</f>
        <v>676360.61</v>
      </c>
      <c r="H75" s="1">
        <f>SUM(OSRRefD21_1x_4)</f>
        <v>445852.24</v>
      </c>
      <c r="I75" s="1">
        <f>SUM(OSRRefD21_1x_5)</f>
        <v>485371.56</v>
      </c>
      <c r="J75" s="1">
        <f>SUM(OSRRefE21_1x_0)</f>
        <v>657236.3099157979</v>
      </c>
      <c r="K75" s="1">
        <f>SUM(OSRRefE21_1x_1)</f>
        <v>577638.58578563808</v>
      </c>
      <c r="L75" s="1">
        <f>SUM(OSRRefE21_1x_2)</f>
        <v>560236.72752563818</v>
      </c>
      <c r="M75" s="1">
        <f>SUM(OSRRefE21_1x_3)</f>
        <v>659701.17391579773</v>
      </c>
      <c r="N75" s="1">
        <f>SUM(OSRRefE21_1x_4)</f>
        <v>473668.86290563812</v>
      </c>
      <c r="O75" s="1">
        <f>SUM(OSRRefE21_1x_5)</f>
        <v>358700.97955063812</v>
      </c>
      <c r="Q75" s="2">
        <f>SUM(OSRRefD20_1x)+IFERROR(SUM(OSRRefE20_1x),0)</f>
        <v>6142399.0895991474</v>
      </c>
    </row>
    <row r="76" spans="1:17" s="35" customFormat="1" hidden="1" outlineLevel="1" x14ac:dyDescent="0.3">
      <c r="A76" s="34"/>
      <c r="B76" s="10" t="str">
        <f>CONCATENATE("          ","6001", " - ","ADMINISTRATIVE SALARIES")</f>
        <v xml:space="preserve">          6001 - ADMINISTRATIVE SALARIES</v>
      </c>
      <c r="C76" s="14"/>
      <c r="D76" s="20">
        <v>36234.019999999997</v>
      </c>
      <c r="E76" s="20">
        <v>26773.16</v>
      </c>
      <c r="F76" s="20">
        <v>27089.58</v>
      </c>
      <c r="G76" s="20">
        <v>31569.02</v>
      </c>
      <c r="H76" s="20">
        <v>25514.75</v>
      </c>
      <c r="I76" s="20">
        <v>29105</v>
      </c>
      <c r="J76" s="20">
        <v>23184.9038461538</v>
      </c>
      <c r="K76" s="20">
        <v>18547.9230769231</v>
      </c>
      <c r="L76" s="20">
        <v>18547.9230769231</v>
      </c>
      <c r="M76" s="20">
        <v>23184.9038461538</v>
      </c>
      <c r="N76" s="20">
        <v>18547.9230769231</v>
      </c>
      <c r="O76" s="20">
        <v>18547.9230769231</v>
      </c>
      <c r="P76" s="36"/>
      <c r="Q76" s="2">
        <f>SUM(OSRRefD21_1_0x)+IFERROR(SUM(OSRRefE21_1_0x),0)</f>
        <v>296847.03000000003</v>
      </c>
    </row>
    <row r="77" spans="1:17" s="35" customFormat="1" hidden="1" outlineLevel="1" x14ac:dyDescent="0.3">
      <c r="A77" s="34"/>
      <c r="B77" s="10" t="str">
        <f>CONCATENATE("          ","6002", " - ","STAFF SALARIES")</f>
        <v xml:space="preserve">          6002 - STAFF SALARIES</v>
      </c>
      <c r="C77" s="14"/>
      <c r="D77" s="20">
        <v>137611.74</v>
      </c>
      <c r="E77" s="20">
        <v>113584.46</v>
      </c>
      <c r="F77" s="20">
        <v>122979.42</v>
      </c>
      <c r="G77" s="20">
        <v>137915.4</v>
      </c>
      <c r="H77" s="20">
        <v>98872.4</v>
      </c>
      <c r="I77" s="20">
        <v>113478.97</v>
      </c>
      <c r="J77" s="20">
        <v>138394.722644644</v>
      </c>
      <c r="K77" s="20">
        <v>110715.778115715</v>
      </c>
      <c r="L77" s="20">
        <v>110715.778115715</v>
      </c>
      <c r="M77" s="20">
        <v>138394.722644644</v>
      </c>
      <c r="N77" s="20">
        <v>110715.778115715</v>
      </c>
      <c r="O77" s="20">
        <v>110715.778115715</v>
      </c>
      <c r="P77" s="36"/>
      <c r="Q77" s="2">
        <f>SUM(OSRRefD21_1_1x)+IFERROR(SUM(OSRRefE21_1_1x),0)</f>
        <v>1444094.9477521479</v>
      </c>
    </row>
    <row r="78" spans="1:17" s="35" customFormat="1" hidden="1" outlineLevel="1" x14ac:dyDescent="0.3">
      <c r="A78" s="34"/>
      <c r="B78" s="10" t="str">
        <f>CONCATENATE("          ","6003", " - ","STAFF HOURLY-9 MONTH")</f>
        <v xml:space="preserve">          6003 - STAFF HOURLY-9 MONTH</v>
      </c>
      <c r="C78" s="14"/>
      <c r="D78" s="20"/>
      <c r="E78" s="20"/>
      <c r="F78" s="20"/>
      <c r="G78" s="20"/>
      <c r="H78" s="20"/>
      <c r="I78" s="20"/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36"/>
      <c r="Q78" s="2">
        <f>SUM(OSRRefD21_1_2x)+IFERROR(SUM(OSRRefE21_1_2x),0)</f>
        <v>0</v>
      </c>
    </row>
    <row r="79" spans="1:17" s="35" customFormat="1" hidden="1" outlineLevel="1" x14ac:dyDescent="0.3">
      <c r="A79" s="34"/>
      <c r="B79" s="10" t="str">
        <f>CONCATENATE("          ","6004", " - ","STAFF HOURLY")</f>
        <v xml:space="preserve">          6004 - STAFF HOURLY</v>
      </c>
      <c r="C79" s="14"/>
      <c r="D79" s="20">
        <v>64891.03</v>
      </c>
      <c r="E79" s="20">
        <v>79931.350000000006</v>
      </c>
      <c r="F79" s="20">
        <v>129060.43</v>
      </c>
      <c r="G79" s="20">
        <v>181661.99</v>
      </c>
      <c r="H79" s="20">
        <v>117919.18</v>
      </c>
      <c r="I79" s="20">
        <v>105744.75</v>
      </c>
      <c r="J79" s="20">
        <v>192161.61665000001</v>
      </c>
      <c r="K79" s="20">
        <v>162593.33336799999</v>
      </c>
      <c r="L79" s="20">
        <v>158381.75435800001</v>
      </c>
      <c r="M79" s="20">
        <v>200020.31015</v>
      </c>
      <c r="N79" s="20">
        <v>148185.039388</v>
      </c>
      <c r="O79" s="20">
        <v>135592.91810800001</v>
      </c>
      <c r="P79" s="36"/>
      <c r="Q79" s="2">
        <f>SUM(OSRRefD21_1_3x)+IFERROR(SUM(OSRRefE21_1_3x),0)</f>
        <v>1676143.702022</v>
      </c>
    </row>
    <row r="80" spans="1:17" s="35" customFormat="1" hidden="1" outlineLevel="1" x14ac:dyDescent="0.3">
      <c r="A80" s="34"/>
      <c r="B80" s="10" t="str">
        <f>CONCATENATE("          ","6005", " - ","TEMPORARY WAGES-HOURLY")</f>
        <v xml:space="preserve">          6005 - TEMPORARY WAGES-HOURLY</v>
      </c>
      <c r="C80" s="14"/>
      <c r="D80" s="20">
        <v>23606.71</v>
      </c>
      <c r="E80" s="20">
        <v>38119.279999999999</v>
      </c>
      <c r="F80" s="20">
        <v>69290.64</v>
      </c>
      <c r="G80" s="20">
        <v>169742.39</v>
      </c>
      <c r="H80" s="20">
        <v>49252.480000000003</v>
      </c>
      <c r="I80" s="20">
        <v>71377.84</v>
      </c>
      <c r="J80" s="20">
        <v>29538.7333</v>
      </c>
      <c r="K80" s="20">
        <v>40844.490299999998</v>
      </c>
      <c r="L80" s="20">
        <v>39896.368649999997</v>
      </c>
      <c r="M80" s="20">
        <v>40844.433599999997</v>
      </c>
      <c r="N80" s="20">
        <v>25539.595549999998</v>
      </c>
      <c r="O80" s="20">
        <v>18529.9231</v>
      </c>
      <c r="P80" s="36"/>
      <c r="Q80" s="2">
        <f>SUM(OSRRefD21_1_4x)+IFERROR(SUM(OSRRefE21_1_4x),0)</f>
        <v>616582.88449999993</v>
      </c>
    </row>
    <row r="81" spans="1:17" s="35" customFormat="1" hidden="1" outlineLevel="1" x14ac:dyDescent="0.3">
      <c r="A81" s="34"/>
      <c r="B81" s="10" t="str">
        <f>CONCATENATE("          ","6006", " - ","TEMPORARY PART TIME")</f>
        <v xml:space="preserve">          6006 - TEMPORARY PART TIME</v>
      </c>
      <c r="C81" s="14"/>
      <c r="D81" s="20">
        <v>2864.4</v>
      </c>
      <c r="E81" s="20">
        <v>3273.79</v>
      </c>
      <c r="F81" s="20">
        <v>2957.46</v>
      </c>
      <c r="G81" s="20">
        <v>781.97</v>
      </c>
      <c r="H81" s="20"/>
      <c r="I81" s="20"/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36"/>
      <c r="Q81" s="2">
        <f>SUM(OSRRefD21_1_5x)+IFERROR(SUM(OSRRefE21_1_5x),0)</f>
        <v>9877.6200000000008</v>
      </c>
    </row>
    <row r="82" spans="1:17" s="35" customFormat="1" hidden="1" outlineLevel="1" x14ac:dyDescent="0.3">
      <c r="A82" s="34"/>
      <c r="B82" s="10" t="str">
        <f>CONCATENATE("          ","6007", " - ","STUDENT HOURLY")</f>
        <v xml:space="preserve">          6007 - STUDENT HOURLY</v>
      </c>
      <c r="C82" s="14"/>
      <c r="D82" s="20">
        <v>73560.31</v>
      </c>
      <c r="E82" s="20">
        <v>138458.75</v>
      </c>
      <c r="F82" s="20">
        <v>116733.89</v>
      </c>
      <c r="G82" s="20">
        <v>129220.92</v>
      </c>
      <c r="H82" s="20">
        <v>120094.13</v>
      </c>
      <c r="I82" s="20">
        <v>126942.64</v>
      </c>
      <c r="J82" s="20">
        <v>52414.3056</v>
      </c>
      <c r="K82" s="20">
        <v>32349.319599999999</v>
      </c>
      <c r="L82" s="20">
        <v>31882.1116</v>
      </c>
      <c r="M82" s="20">
        <v>39265.111599999997</v>
      </c>
      <c r="N82" s="20">
        <v>32361.471600000001</v>
      </c>
      <c r="O82" s="20">
        <v>38999.771350000003</v>
      </c>
      <c r="P82" s="36"/>
      <c r="Q82" s="2">
        <f>SUM(OSRRefD21_1_6x)+IFERROR(SUM(OSRRefE21_1_6x),0)</f>
        <v>932282.73135000002</v>
      </c>
    </row>
    <row r="83" spans="1:17" s="35" customFormat="1" hidden="1" outlineLevel="1" x14ac:dyDescent="0.3">
      <c r="A83" s="34"/>
      <c r="B83" s="10" t="str">
        <f>CONCATENATE("          ","6008", " - ","STUDENT HOURLY-FICA EXEMPT")</f>
        <v xml:space="preserve">          6008 - STUDENT HOURLY-FICA EXEMPT</v>
      </c>
      <c r="C83" s="14"/>
      <c r="D83" s="20">
        <v>9784.35</v>
      </c>
      <c r="E83" s="20">
        <v>17066.310000000001</v>
      </c>
      <c r="F83" s="20">
        <v>13760.96</v>
      </c>
      <c r="G83" s="20">
        <v>25468.92</v>
      </c>
      <c r="H83" s="20">
        <v>34199.300000000003</v>
      </c>
      <c r="I83" s="20">
        <v>38722.36</v>
      </c>
      <c r="J83" s="20">
        <v>221542.027875</v>
      </c>
      <c r="K83" s="20">
        <v>212587.74132500001</v>
      </c>
      <c r="L83" s="20">
        <v>200812.79172499999</v>
      </c>
      <c r="M83" s="20">
        <v>217991.692075</v>
      </c>
      <c r="N83" s="20">
        <v>138319.05517499999</v>
      </c>
      <c r="O83" s="20">
        <v>36314.665800000002</v>
      </c>
      <c r="P83" s="36"/>
      <c r="Q83" s="2">
        <f>SUM(OSRRefD21_1_7x)+IFERROR(SUM(OSRRefE21_1_7x),0)</f>
        <v>1166570.1739749999</v>
      </c>
    </row>
    <row r="84" spans="1:17" s="35" customFormat="1" hidden="1" outlineLevel="1" x14ac:dyDescent="0.3">
      <c r="A84" s="34"/>
      <c r="B84" s="10" t="str">
        <f>CONCATENATE("          ","6009", " - ","TEMPORARY-SEASONAL")</f>
        <v xml:space="preserve">          6009 - TEMPORARY-SEASONAL</v>
      </c>
      <c r="C84" s="14"/>
      <c r="D84" s="20"/>
      <c r="E84" s="20"/>
      <c r="F84" s="20"/>
      <c r="G84" s="20"/>
      <c r="H84" s="20"/>
      <c r="I84" s="20"/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6"/>
      <c r="Q84" s="2">
        <f>SUM(OSRRefD21_1_8x)+IFERROR(SUM(OSRRefE21_1_8x),0)</f>
        <v>0</v>
      </c>
    </row>
    <row r="85" spans="1:17" s="35" customFormat="1" hidden="1" outlineLevel="1" x14ac:dyDescent="0.3">
      <c r="A85" s="34"/>
      <c r="B85" s="10" t="str">
        <f>CONCATENATE("          ","6010", " - ","GRATUITY")</f>
        <v xml:space="preserve">          6010 - GRATUITY</v>
      </c>
      <c r="C85" s="14"/>
      <c r="D85" s="20"/>
      <c r="E85" s="20"/>
      <c r="F85" s="20"/>
      <c r="G85" s="20"/>
      <c r="H85" s="20"/>
      <c r="I85" s="20"/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36"/>
      <c r="Q85" s="2">
        <f>SUM(OSRRefD21_1_9x)+IFERROR(SUM(OSRRefE21_1_9x),0)</f>
        <v>0</v>
      </c>
    </row>
    <row r="86" spans="1:17" s="35" customFormat="1" collapsed="1" x14ac:dyDescent="0.3">
      <c r="A86" s="34"/>
      <c r="B86" s="14" t="str">
        <f>CONCATENATE("     ","Advertising/Promo                                 ")</f>
        <v xml:space="preserve">     Advertising/Promo                                 </v>
      </c>
      <c r="C86" s="14"/>
      <c r="D86" s="1">
        <f>SUM(OSRRefD21_2x_0)</f>
        <v>1084.78</v>
      </c>
      <c r="E86" s="1">
        <f>SUM(OSRRefD21_2x_1)</f>
        <v>3706.47</v>
      </c>
      <c r="F86" s="1">
        <f>SUM(OSRRefD21_2x_2)</f>
        <v>1134.2</v>
      </c>
      <c r="G86" s="1">
        <f>SUM(OSRRefD21_2x_3)</f>
        <v>1129.6600000000001</v>
      </c>
      <c r="H86" s="1">
        <f>SUM(OSRRefD21_2x_4)</f>
        <v>1962.6</v>
      </c>
      <c r="I86" s="1">
        <f>SUM(OSRRefD21_2x_5)</f>
        <v>969.95</v>
      </c>
      <c r="J86" s="1">
        <f>SUM(OSRRefE21_2x_0)</f>
        <v>2219</v>
      </c>
      <c r="K86" s="1">
        <f>SUM(OSRRefE21_2x_1)</f>
        <v>1919</v>
      </c>
      <c r="L86" s="1">
        <f>SUM(OSRRefE21_2x_2)</f>
        <v>1919</v>
      </c>
      <c r="M86" s="1">
        <f>SUM(OSRRefE21_2x_3)</f>
        <v>1919</v>
      </c>
      <c r="N86" s="1">
        <f>SUM(OSRRefE21_2x_4)</f>
        <v>2019</v>
      </c>
      <c r="O86" s="1">
        <f>SUM(OSRRefE21_2x_5)</f>
        <v>1569</v>
      </c>
      <c r="Q86" s="2">
        <f>SUM(OSRRefD20_2x)+IFERROR(SUM(OSRRefE20_2x),0)</f>
        <v>21551.66</v>
      </c>
    </row>
    <row r="87" spans="1:17" s="35" customFormat="1" hidden="1" outlineLevel="1" x14ac:dyDescent="0.3">
      <c r="A87" s="34"/>
      <c r="B87" s="10" t="str">
        <f>CONCATENATE("          ","6362", " - ","ADVERTISING EXPENSE")</f>
        <v xml:space="preserve">          6362 - ADVERTISING EXPENSE</v>
      </c>
      <c r="C87" s="14"/>
      <c r="D87" s="20">
        <v>1084.78</v>
      </c>
      <c r="E87" s="20">
        <v>3706.47</v>
      </c>
      <c r="F87" s="20">
        <v>1134.2</v>
      </c>
      <c r="G87" s="20">
        <v>1129.6600000000001</v>
      </c>
      <c r="H87" s="20">
        <v>1962.6</v>
      </c>
      <c r="I87" s="20">
        <v>969.95</v>
      </c>
      <c r="J87" s="20">
        <v>2219</v>
      </c>
      <c r="K87" s="20">
        <v>1919</v>
      </c>
      <c r="L87" s="20">
        <v>1919</v>
      </c>
      <c r="M87" s="20">
        <v>1919</v>
      </c>
      <c r="N87" s="20">
        <v>2019</v>
      </c>
      <c r="O87" s="20">
        <v>1569</v>
      </c>
      <c r="P87" s="36"/>
      <c r="Q87" s="2">
        <f>SUM(OSRRefD21_2_0x)+IFERROR(SUM(OSRRefE21_2_0x),0)</f>
        <v>21551.66</v>
      </c>
    </row>
    <row r="88" spans="1:17" s="35" customFormat="1" collapsed="1" x14ac:dyDescent="0.3">
      <c r="A88" s="34"/>
      <c r="B88" s="14" t="str">
        <f>CONCATENATE("     ","Bad Debts/Over/Short                              ")</f>
        <v xml:space="preserve">     Bad Debts/Over/Short                              </v>
      </c>
      <c r="C88" s="14"/>
      <c r="D88" s="1">
        <f>SUM(OSRRefD21_3x_0)</f>
        <v>-17.75</v>
      </c>
      <c r="E88" s="1">
        <f>SUM(OSRRefD21_3x_1)</f>
        <v>61.24</v>
      </c>
      <c r="F88" s="1">
        <f>SUM(OSRRefD21_3x_2)</f>
        <v>104.72</v>
      </c>
      <c r="G88" s="1">
        <f>SUM(OSRRefD21_3x_3)</f>
        <v>-49.54</v>
      </c>
      <c r="H88" s="1">
        <f>SUM(OSRRefD21_3x_4)</f>
        <v>-42.52</v>
      </c>
      <c r="I88" s="1">
        <f>SUM(OSRRefD21_3x_5)</f>
        <v>20.94</v>
      </c>
      <c r="J88" s="1">
        <f>SUM(OSRRefE21_3x_0)</f>
        <v>268</v>
      </c>
      <c r="K88" s="1">
        <f>SUM(OSRRefE21_3x_1)</f>
        <v>278</v>
      </c>
      <c r="L88" s="1">
        <f>SUM(OSRRefE21_3x_2)</f>
        <v>268</v>
      </c>
      <c r="M88" s="1">
        <f>SUM(OSRRefE21_3x_3)</f>
        <v>278</v>
      </c>
      <c r="N88" s="1">
        <f>SUM(OSRRefE21_3x_4)</f>
        <v>268</v>
      </c>
      <c r="O88" s="1">
        <f>SUM(OSRRefE21_3x_5)</f>
        <v>260</v>
      </c>
      <c r="Q88" s="2">
        <f>SUM(OSRRefD20_3x)+IFERROR(SUM(OSRRefE20_3x),0)</f>
        <v>1697.09</v>
      </c>
    </row>
    <row r="89" spans="1:17" s="35" customFormat="1" hidden="1" outlineLevel="1" x14ac:dyDescent="0.3">
      <c r="A89" s="34"/>
      <c r="B89" s="10" t="str">
        <f>CONCATENATE("          ","6272", " - ","CASH (OVER/SHORT)")</f>
        <v xml:space="preserve">          6272 - CASH (OVER/SHORT)</v>
      </c>
      <c r="C89" s="14"/>
      <c r="D89" s="20">
        <v>-17.75</v>
      </c>
      <c r="E89" s="20">
        <v>61.24</v>
      </c>
      <c r="F89" s="20">
        <v>104.72</v>
      </c>
      <c r="G89" s="20">
        <v>-49.54</v>
      </c>
      <c r="H89" s="20">
        <v>-42.52</v>
      </c>
      <c r="I89" s="20">
        <v>20.94</v>
      </c>
      <c r="J89" s="20">
        <v>268</v>
      </c>
      <c r="K89" s="20">
        <v>278</v>
      </c>
      <c r="L89" s="20">
        <v>268</v>
      </c>
      <c r="M89" s="20">
        <v>278</v>
      </c>
      <c r="N89" s="20">
        <v>268</v>
      </c>
      <c r="O89" s="20">
        <v>260</v>
      </c>
      <c r="P89" s="36"/>
      <c r="Q89" s="2">
        <f>SUM(OSRRefD21_3_0x)+IFERROR(SUM(OSRRefE21_3_0x),0)</f>
        <v>1697.09</v>
      </c>
    </row>
    <row r="90" spans="1:17" s="35" customFormat="1" collapsed="1" x14ac:dyDescent="0.3">
      <c r="A90" s="34"/>
      <c r="B90" s="14" t="str">
        <f>CONCATENATE("     ","Bank/card Fees                                    ")</f>
        <v xml:space="preserve">     Bank/card Fees                                    </v>
      </c>
      <c r="C90" s="14"/>
      <c r="D90" s="1">
        <f>SUM(OSRRefD21_4x_0)</f>
        <v>5091.76</v>
      </c>
      <c r="E90" s="1">
        <f>SUM(OSRRefD21_4x_1)</f>
        <v>26352.66</v>
      </c>
      <c r="F90" s="1">
        <f>SUM(OSRRefD21_4x_2)</f>
        <v>17061.310000000001</v>
      </c>
      <c r="G90" s="1">
        <f>SUM(OSRRefD21_4x_3)</f>
        <v>20622.490000000002</v>
      </c>
      <c r="H90" s="1">
        <f>SUM(OSRRefD21_4x_4)</f>
        <v>13300.69</v>
      </c>
      <c r="I90" s="1">
        <f>SUM(OSRRefD21_4x_5)</f>
        <v>14111.72</v>
      </c>
      <c r="J90" s="1">
        <f>SUM(OSRRefE21_4x_0)</f>
        <v>45897.5</v>
      </c>
      <c r="K90" s="1">
        <f>SUM(OSRRefE21_4x_1)</f>
        <v>33547</v>
      </c>
      <c r="L90" s="1">
        <f>SUM(OSRRefE21_4x_2)</f>
        <v>30749.25</v>
      </c>
      <c r="M90" s="1">
        <f>SUM(OSRRefE21_4x_3)</f>
        <v>32961.25</v>
      </c>
      <c r="N90" s="1">
        <f>SUM(OSRRefE21_4x_4)</f>
        <v>29226</v>
      </c>
      <c r="O90" s="1">
        <f>SUM(OSRRefE21_4x_5)</f>
        <v>13924.5</v>
      </c>
      <c r="Q90" s="2">
        <f>SUM(OSRRefD20_4x)+IFERROR(SUM(OSRRefE20_4x),0)</f>
        <v>282846.13</v>
      </c>
    </row>
    <row r="91" spans="1:17" s="35" customFormat="1" hidden="1" outlineLevel="1" x14ac:dyDescent="0.3">
      <c r="A91" s="34"/>
      <c r="B91" s="10" t="str">
        <f>CONCATENATE("          ","6381", " - ","BANK/CREDIT CARD FEES")</f>
        <v xml:space="preserve">          6381 - BANK/CREDIT CARD FEES</v>
      </c>
      <c r="C91" s="14"/>
      <c r="D91" s="20">
        <v>5091.76</v>
      </c>
      <c r="E91" s="20">
        <v>26352.66</v>
      </c>
      <c r="F91" s="20">
        <v>17061.310000000001</v>
      </c>
      <c r="G91" s="20">
        <v>20622.490000000002</v>
      </c>
      <c r="H91" s="20">
        <v>13300.69</v>
      </c>
      <c r="I91" s="20">
        <v>14111.72</v>
      </c>
      <c r="J91" s="20">
        <v>45897.5</v>
      </c>
      <c r="K91" s="20">
        <v>33547</v>
      </c>
      <c r="L91" s="20">
        <v>30749.25</v>
      </c>
      <c r="M91" s="20">
        <v>32961.25</v>
      </c>
      <c r="N91" s="20">
        <v>29226</v>
      </c>
      <c r="O91" s="20">
        <v>13924.5</v>
      </c>
      <c r="P91" s="36"/>
      <c r="Q91" s="2">
        <f>SUM(OSRRefD21_4_0x)+IFERROR(SUM(OSRRefE21_4_0x),0)</f>
        <v>282846.13</v>
      </c>
    </row>
    <row r="92" spans="1:17" s="35" customFormat="1" collapsed="1" x14ac:dyDescent="0.3">
      <c r="A92" s="34"/>
      <c r="B92" s="14" t="str">
        <f>CONCATENATE("     ","Depreciation                                      ")</f>
        <v xml:space="preserve">     Depreciation                                      </v>
      </c>
      <c r="C92" s="14"/>
      <c r="D92" s="1">
        <f>SUM(OSRRefD21_5x_0)</f>
        <v>71722.81</v>
      </c>
      <c r="E92" s="1">
        <f>SUM(OSRRefD21_5x_1)</f>
        <v>71722.81</v>
      </c>
      <c r="F92" s="1">
        <f>SUM(OSRRefD21_5x_2)</f>
        <v>71678.73</v>
      </c>
      <c r="G92" s="1">
        <f>SUM(OSRRefD21_5x_3)</f>
        <v>70762.13</v>
      </c>
      <c r="H92" s="1">
        <f>SUM(OSRRefD21_5x_4)</f>
        <v>70762.12</v>
      </c>
      <c r="I92" s="1">
        <f>SUM(OSRRefD21_5x_5)</f>
        <v>70762.11</v>
      </c>
      <c r="J92" s="1">
        <f>SUM(OSRRefE21_5x_0)</f>
        <v>67822</v>
      </c>
      <c r="K92" s="1">
        <f>SUM(OSRRefE21_5x_1)</f>
        <v>67012</v>
      </c>
      <c r="L92" s="1">
        <f>SUM(OSRRefE21_5x_2)</f>
        <v>66437</v>
      </c>
      <c r="M92" s="1">
        <f>SUM(OSRRefE21_5x_3)</f>
        <v>55277</v>
      </c>
      <c r="N92" s="1">
        <f>SUM(OSRRefE21_5x_4)</f>
        <v>55277</v>
      </c>
      <c r="O92" s="1">
        <f>SUM(OSRRefE21_5x_5)</f>
        <v>55119</v>
      </c>
      <c r="Q92" s="2">
        <f>SUM(OSRRefD20_5x)+IFERROR(SUM(OSRRefE20_5x),0)</f>
        <v>794354.71</v>
      </c>
    </row>
    <row r="93" spans="1:17" s="35" customFormat="1" hidden="1" outlineLevel="1" x14ac:dyDescent="0.3">
      <c r="A93" s="34"/>
      <c r="B93" s="10" t="str">
        <f>CONCATENATE("          ","6321", " - ","BUILDING DEPRECIATION")</f>
        <v xml:space="preserve">          6321 - BUILDING DEPRECIATION</v>
      </c>
      <c r="C93" s="14"/>
      <c r="D93" s="20">
        <v>45060.5</v>
      </c>
      <c r="E93" s="20">
        <v>45060.5</v>
      </c>
      <c r="F93" s="20">
        <v>45016.43</v>
      </c>
      <c r="G93" s="20">
        <v>45016.43</v>
      </c>
      <c r="H93" s="20">
        <v>45016.43</v>
      </c>
      <c r="I93" s="20">
        <v>45016.42</v>
      </c>
      <c r="J93" s="20"/>
      <c r="K93" s="20"/>
      <c r="L93" s="20"/>
      <c r="M93" s="20"/>
      <c r="N93" s="20"/>
      <c r="O93" s="20"/>
      <c r="P93" s="36"/>
      <c r="Q93" s="2">
        <f>SUM(OSRRefD21_5_0x)+IFERROR(SUM(OSRRefE21_5_0x),0)</f>
        <v>270186.70999999996</v>
      </c>
    </row>
    <row r="94" spans="1:17" s="35" customFormat="1" hidden="1" outlineLevel="1" x14ac:dyDescent="0.3">
      <c r="A94" s="34"/>
      <c r="B94" s="10" t="str">
        <f>CONCATENATE("          ","6322", " - ","EQUIPMENT DEPRECIATION EXPENSE")</f>
        <v xml:space="preserve">          6322 - EQUIPMENT DEPRECIATION EXPENSE</v>
      </c>
      <c r="C94" s="14"/>
      <c r="D94" s="20">
        <v>26662.31</v>
      </c>
      <c r="E94" s="20">
        <v>26662.31</v>
      </c>
      <c r="F94" s="20">
        <v>26662.3</v>
      </c>
      <c r="G94" s="20">
        <v>25745.7</v>
      </c>
      <c r="H94" s="20">
        <v>25745.69</v>
      </c>
      <c r="I94" s="20">
        <v>25745.69</v>
      </c>
      <c r="J94" s="20">
        <v>67822</v>
      </c>
      <c r="K94" s="20">
        <v>67012</v>
      </c>
      <c r="L94" s="20">
        <v>66437</v>
      </c>
      <c r="M94" s="20">
        <v>55277</v>
      </c>
      <c r="N94" s="20">
        <v>55277</v>
      </c>
      <c r="O94" s="20">
        <v>55119</v>
      </c>
      <c r="P94" s="36"/>
      <c r="Q94" s="2">
        <f>SUM(OSRRefD21_5_1x)+IFERROR(SUM(OSRRefE21_5_1x),0)</f>
        <v>524168</v>
      </c>
    </row>
    <row r="95" spans="1:17" s="35" customFormat="1" collapsed="1" x14ac:dyDescent="0.3">
      <c r="A95" s="34"/>
      <c r="B95" s="14" t="str">
        <f>CONCATENATE("     ","Discounts and Markdowns                           ")</f>
        <v xml:space="preserve">     Discounts and Markdowns                           </v>
      </c>
      <c r="C95" s="14"/>
      <c r="D95" s="1">
        <f>SUM(OSRRefD21_6x_0)</f>
        <v>-0.68</v>
      </c>
      <c r="E95" s="1">
        <f>SUM(OSRRefD21_6x_1)</f>
        <v>-157.30000000000001</v>
      </c>
      <c r="F95" s="1">
        <f>SUM(OSRRefD21_6x_2)</f>
        <v>135.49</v>
      </c>
      <c r="G95" s="1">
        <f>SUM(OSRRefD21_6x_3)</f>
        <v>-43.75</v>
      </c>
      <c r="H95" s="1">
        <f>SUM(OSRRefD21_6x_4)</f>
        <v>3409.87</v>
      </c>
      <c r="I95" s="1">
        <f>SUM(OSRRefD21_6x_5)</f>
        <v>11.17</v>
      </c>
      <c r="J95" s="1">
        <f>SUM(OSRRefE21_6x_0)</f>
        <v>0</v>
      </c>
      <c r="K95" s="1">
        <f>SUM(OSRRefE21_6x_1)</f>
        <v>0</v>
      </c>
      <c r="L95" s="1">
        <f>SUM(OSRRefE21_6x_2)</f>
        <v>0</v>
      </c>
      <c r="M95" s="1">
        <f>SUM(OSRRefE21_6x_3)</f>
        <v>0</v>
      </c>
      <c r="N95" s="1">
        <f>SUM(OSRRefE21_6x_4)</f>
        <v>0</v>
      </c>
      <c r="O95" s="1">
        <f>SUM(OSRRefE21_6x_5)</f>
        <v>0</v>
      </c>
      <c r="Q95" s="2">
        <f>SUM(OSRRefD20_6x)+IFERROR(SUM(OSRRefE20_6x),0)</f>
        <v>3354.8</v>
      </c>
    </row>
    <row r="96" spans="1:17" s="35" customFormat="1" hidden="1" outlineLevel="1" x14ac:dyDescent="0.3">
      <c r="A96" s="34"/>
      <c r="B96" s="10" t="str">
        <f>CONCATENATE("          ","6382", " - ","DISCOUNTS/MARK DOWNS")</f>
        <v xml:space="preserve">          6382 - DISCOUNTS/MARK DOWNS</v>
      </c>
      <c r="C96" s="14"/>
      <c r="D96" s="20"/>
      <c r="E96" s="20"/>
      <c r="F96" s="20"/>
      <c r="G96" s="20"/>
      <c r="H96" s="20">
        <v>3410</v>
      </c>
      <c r="I96" s="20"/>
      <c r="J96" s="20"/>
      <c r="K96" s="20"/>
      <c r="L96" s="20"/>
      <c r="M96" s="20"/>
      <c r="N96" s="20"/>
      <c r="O96" s="20"/>
      <c r="P96" s="36"/>
      <c r="Q96" s="2">
        <f>SUM(OSRRefD21_6_0x)+IFERROR(SUM(OSRRefE21_6_0x),0)</f>
        <v>3410</v>
      </c>
    </row>
    <row r="97" spans="1:17" s="35" customFormat="1" hidden="1" outlineLevel="1" x14ac:dyDescent="0.3">
      <c r="A97" s="34"/>
      <c r="B97" s="10" t="str">
        <f>CONCATENATE("          ","9175", " - ","EARNED DISCOUNTS")</f>
        <v xml:space="preserve">          9175 - EARNED DISCOUNTS</v>
      </c>
      <c r="C97" s="14"/>
      <c r="D97" s="20">
        <v>-0.68</v>
      </c>
      <c r="E97" s="20">
        <v>-157.30000000000001</v>
      </c>
      <c r="F97" s="20">
        <v>135.49</v>
      </c>
      <c r="G97" s="20">
        <v>-43.75</v>
      </c>
      <c r="H97" s="20">
        <v>-0.13</v>
      </c>
      <c r="I97" s="20">
        <v>11.17</v>
      </c>
      <c r="J97" s="20"/>
      <c r="K97" s="20"/>
      <c r="L97" s="20"/>
      <c r="M97" s="20"/>
      <c r="N97" s="20"/>
      <c r="O97" s="20"/>
      <c r="P97" s="36"/>
      <c r="Q97" s="2">
        <f>SUM(OSRRefD21_6_1x)+IFERROR(SUM(OSRRefE21_6_1x),0)</f>
        <v>-55.2</v>
      </c>
    </row>
    <row r="98" spans="1:17" s="35" customFormat="1" collapsed="1" x14ac:dyDescent="0.3">
      <c r="A98" s="34"/>
      <c r="B98" s="14" t="str">
        <f>CONCATENATE("     ","Donations                                         ")</f>
        <v xml:space="preserve">     Donations                                         </v>
      </c>
      <c r="C98" s="14"/>
      <c r="D98" s="1">
        <f>SUM(OSRRefD21_7x_0)</f>
        <v>0</v>
      </c>
      <c r="E98" s="1">
        <f>SUM(OSRRefD21_7x_1)</f>
        <v>4261.5600000000004</v>
      </c>
      <c r="F98" s="1">
        <f>SUM(OSRRefD21_7x_2)</f>
        <v>9653.6200000000008</v>
      </c>
      <c r="G98" s="1">
        <f>SUM(OSRRefD21_7x_3)</f>
        <v>11982.04</v>
      </c>
      <c r="H98" s="1">
        <f>SUM(OSRRefD21_7x_4)</f>
        <v>9735.59</v>
      </c>
      <c r="I98" s="1">
        <f>SUM(OSRRefD21_7x_5)</f>
        <v>3782.41</v>
      </c>
      <c r="J98" s="1">
        <f>SUM(OSRRefE21_7x_0)</f>
        <v>16750</v>
      </c>
      <c r="K98" s="1">
        <f>SUM(OSRRefE21_7x_1)</f>
        <v>16750</v>
      </c>
      <c r="L98" s="1">
        <f>SUM(OSRRefE21_7x_2)</f>
        <v>16750</v>
      </c>
      <c r="M98" s="1">
        <f>SUM(OSRRefE21_7x_3)</f>
        <v>16750</v>
      </c>
      <c r="N98" s="1">
        <f>SUM(OSRRefE21_7x_4)</f>
        <v>16750</v>
      </c>
      <c r="O98" s="1">
        <f>SUM(OSRRefE21_7x_5)</f>
        <v>1250</v>
      </c>
      <c r="Q98" s="2">
        <f>SUM(OSRRefD20_7x)+IFERROR(SUM(OSRRefE20_7x),0)</f>
        <v>124415.22</v>
      </c>
    </row>
    <row r="99" spans="1:17" s="35" customFormat="1" hidden="1" outlineLevel="1" x14ac:dyDescent="0.3">
      <c r="A99" s="34"/>
      <c r="B99" s="10" t="str">
        <f>CONCATENATE("          ","6399", " - ","DONATION-ON CAMPUS")</f>
        <v xml:space="preserve">          6399 - DONATION-ON CAMPUS</v>
      </c>
      <c r="C99" s="14"/>
      <c r="D99" s="20"/>
      <c r="E99" s="20">
        <v>4261.5600000000004</v>
      </c>
      <c r="F99" s="20">
        <v>9653.6200000000008</v>
      </c>
      <c r="G99" s="20">
        <v>11982.04</v>
      </c>
      <c r="H99" s="20">
        <v>9735.59</v>
      </c>
      <c r="I99" s="20">
        <v>3782.41</v>
      </c>
      <c r="J99" s="20">
        <v>16750</v>
      </c>
      <c r="K99" s="20">
        <v>16750</v>
      </c>
      <c r="L99" s="20">
        <v>16750</v>
      </c>
      <c r="M99" s="20">
        <v>16750</v>
      </c>
      <c r="N99" s="20">
        <v>16750</v>
      </c>
      <c r="O99" s="20">
        <v>1250</v>
      </c>
      <c r="P99" s="36"/>
      <c r="Q99" s="2">
        <f>SUM(OSRRefD21_7_0x)+IFERROR(SUM(OSRRefE21_7_0x),0)</f>
        <v>124415.22</v>
      </c>
    </row>
    <row r="100" spans="1:17" s="35" customFormat="1" collapsed="1" x14ac:dyDescent="0.3">
      <c r="A100" s="34"/>
      <c r="B100" s="14" t="str">
        <f>CONCATENATE("     ","Employees' Appreciation                           ")</f>
        <v xml:space="preserve">     Employees' Appreciation                           </v>
      </c>
      <c r="C100" s="14"/>
      <c r="D100" s="1">
        <f>SUM(OSRRefD21_8x_0)</f>
        <v>537.36</v>
      </c>
      <c r="E100" s="1">
        <f>SUM(OSRRefD21_8x_1)</f>
        <v>418</v>
      </c>
      <c r="F100" s="1">
        <f>SUM(OSRRefD21_8x_2)</f>
        <v>461.76</v>
      </c>
      <c r="G100" s="1">
        <f>SUM(OSRRefD21_8x_3)</f>
        <v>123.17</v>
      </c>
      <c r="H100" s="1">
        <f>SUM(OSRRefD21_8x_4)</f>
        <v>524.49</v>
      </c>
      <c r="I100" s="1">
        <f>SUM(OSRRefD21_8x_5)</f>
        <v>1236.26</v>
      </c>
      <c r="J100" s="1">
        <f>SUM(OSRRefE21_8x_0)</f>
        <v>485</v>
      </c>
      <c r="K100" s="1">
        <f>SUM(OSRRefE21_8x_1)</f>
        <v>465</v>
      </c>
      <c r="L100" s="1">
        <f>SUM(OSRRefE21_8x_2)</f>
        <v>505</v>
      </c>
      <c r="M100" s="1">
        <f>SUM(OSRRefE21_8x_3)</f>
        <v>485</v>
      </c>
      <c r="N100" s="1">
        <f>SUM(OSRRefE21_8x_4)</f>
        <v>805</v>
      </c>
      <c r="O100" s="1">
        <f>SUM(OSRRefE21_8x_5)</f>
        <v>465</v>
      </c>
      <c r="Q100" s="2">
        <f>SUM(OSRRefD20_8x)+IFERROR(SUM(OSRRefE20_8x),0)</f>
        <v>6511.04</v>
      </c>
    </row>
    <row r="101" spans="1:17" s="35" customFormat="1" hidden="1" outlineLevel="1" x14ac:dyDescent="0.3">
      <c r="A101" s="34"/>
      <c r="B101" s="10" t="str">
        <f>CONCATENATE("          ","6277", " - ","EMPLOYEE APPRECIATION")</f>
        <v xml:space="preserve">          6277 - EMPLOYEE APPRECIATION</v>
      </c>
      <c r="C101" s="14"/>
      <c r="D101" s="20">
        <v>537.36</v>
      </c>
      <c r="E101" s="20">
        <v>418</v>
      </c>
      <c r="F101" s="20">
        <v>461.76</v>
      </c>
      <c r="G101" s="20">
        <v>123.17</v>
      </c>
      <c r="H101" s="20">
        <v>524.49</v>
      </c>
      <c r="I101" s="20">
        <v>1236.26</v>
      </c>
      <c r="J101" s="20">
        <v>485</v>
      </c>
      <c r="K101" s="20">
        <v>465</v>
      </c>
      <c r="L101" s="20">
        <v>505</v>
      </c>
      <c r="M101" s="20">
        <v>485</v>
      </c>
      <c r="N101" s="20">
        <v>805</v>
      </c>
      <c r="O101" s="20">
        <v>465</v>
      </c>
      <c r="P101" s="36"/>
      <c r="Q101" s="2">
        <f>SUM(OSRRefD21_8_0x)+IFERROR(SUM(OSRRefE21_8_0x),0)</f>
        <v>6511.04</v>
      </c>
    </row>
    <row r="102" spans="1:17" s="35" customFormat="1" collapsed="1" x14ac:dyDescent="0.3">
      <c r="A102" s="34"/>
      <c r="B102" s="14" t="str">
        <f>CONCATENATE("     ","Equipment Rental                                  ")</f>
        <v xml:space="preserve">     Equipment Rental                                  </v>
      </c>
      <c r="C102" s="14"/>
      <c r="D102" s="1">
        <f>SUM(OSRRefD21_9x_0)</f>
        <v>2713.62</v>
      </c>
      <c r="E102" s="1">
        <f>SUM(OSRRefD21_9x_1)</f>
        <v>7575.85</v>
      </c>
      <c r="F102" s="1">
        <f>SUM(OSRRefD21_9x_2)</f>
        <v>1799.62</v>
      </c>
      <c r="G102" s="1">
        <f>SUM(OSRRefD21_9x_3)</f>
        <v>4246.51</v>
      </c>
      <c r="H102" s="1">
        <f>SUM(OSRRefD21_9x_4)</f>
        <v>3040.96</v>
      </c>
      <c r="I102" s="1">
        <f>SUM(OSRRefD21_9x_5)</f>
        <v>4116.82</v>
      </c>
      <c r="J102" s="1">
        <f>SUM(OSRRefE21_9x_0)</f>
        <v>3446</v>
      </c>
      <c r="K102" s="1">
        <f>SUM(OSRRefE21_9x_1)</f>
        <v>3446</v>
      </c>
      <c r="L102" s="1">
        <f>SUM(OSRRefE21_9x_2)</f>
        <v>3446</v>
      </c>
      <c r="M102" s="1">
        <f>SUM(OSRRefE21_9x_3)</f>
        <v>3446</v>
      </c>
      <c r="N102" s="1">
        <f>SUM(OSRRefE21_9x_4)</f>
        <v>3446</v>
      </c>
      <c r="O102" s="1">
        <f>SUM(OSRRefE21_9x_5)</f>
        <v>3446</v>
      </c>
      <c r="Q102" s="2">
        <f>SUM(OSRRefD20_9x)+IFERROR(SUM(OSRRefE20_9x),0)</f>
        <v>44169.380000000005</v>
      </c>
    </row>
    <row r="103" spans="1:17" s="35" customFormat="1" hidden="1" outlineLevel="1" x14ac:dyDescent="0.3">
      <c r="A103" s="34"/>
      <c r="B103" s="10" t="str">
        <f>CONCATENATE("          ","6351", " - ","EQUIPMENT RENTAL")</f>
        <v xml:space="preserve">          6351 - EQUIPMENT RENTAL</v>
      </c>
      <c r="C103" s="14"/>
      <c r="D103" s="20">
        <v>2713.62</v>
      </c>
      <c r="E103" s="20">
        <v>7575.85</v>
      </c>
      <c r="F103" s="20">
        <v>1799.62</v>
      </c>
      <c r="G103" s="20">
        <v>4246.51</v>
      </c>
      <c r="H103" s="20">
        <v>3040.96</v>
      </c>
      <c r="I103" s="20">
        <v>4116.82</v>
      </c>
      <c r="J103" s="20">
        <v>3446</v>
      </c>
      <c r="K103" s="20">
        <v>3446</v>
      </c>
      <c r="L103" s="20">
        <v>3446</v>
      </c>
      <c r="M103" s="20">
        <v>3446</v>
      </c>
      <c r="N103" s="20">
        <v>3446</v>
      </c>
      <c r="O103" s="20">
        <v>3446</v>
      </c>
      <c r="P103" s="36"/>
      <c r="Q103" s="2">
        <f>SUM(OSRRefD21_9_0x)+IFERROR(SUM(OSRRefE21_9_0x),0)</f>
        <v>44169.380000000005</v>
      </c>
    </row>
    <row r="104" spans="1:17" s="35" customFormat="1" collapsed="1" x14ac:dyDescent="0.3">
      <c r="A104" s="34"/>
      <c r="B104" s="14" t="str">
        <f>CONCATENATE("     ","Freight out/Postage                               ")</f>
        <v xml:space="preserve">     Freight out/Postage                               </v>
      </c>
      <c r="C104" s="14"/>
      <c r="D104" s="1">
        <f>SUM(OSRRefD21_10x_0)</f>
        <v>3682.8</v>
      </c>
      <c r="E104" s="1">
        <f>SUM(OSRRefD21_10x_1)</f>
        <v>-19372.54</v>
      </c>
      <c r="F104" s="1">
        <f>SUM(OSRRefD21_10x_2)</f>
        <v>3676.619999999999</v>
      </c>
      <c r="G104" s="1">
        <f>SUM(OSRRefD21_10x_3)</f>
        <v>-23513.759999999998</v>
      </c>
      <c r="H104" s="1">
        <f>SUM(OSRRefD21_10x_4)</f>
        <v>5663.4</v>
      </c>
      <c r="I104" s="1">
        <f>SUM(OSRRefD21_10x_5)</f>
        <v>-2180.9800000000014</v>
      </c>
      <c r="J104" s="1">
        <f>SUM(OSRRefE21_10x_0)</f>
        <v>-25525</v>
      </c>
      <c r="K104" s="1">
        <f>SUM(OSRRefE21_10x_1)</f>
        <v>1975</v>
      </c>
      <c r="L104" s="1">
        <f>SUM(OSRRefE21_10x_2)</f>
        <v>3375</v>
      </c>
      <c r="M104" s="1">
        <f>SUM(OSRRefE21_10x_3)</f>
        <v>-525</v>
      </c>
      <c r="N104" s="1">
        <f>SUM(OSRRefE21_10x_4)</f>
        <v>-1825</v>
      </c>
      <c r="O104" s="1">
        <f>SUM(OSRRefE21_10x_5)</f>
        <v>-2325</v>
      </c>
      <c r="Q104" s="2">
        <f>SUM(OSRRefD20_10x)+IFERROR(SUM(OSRRefE20_10x),0)</f>
        <v>-56894.460000000006</v>
      </c>
    </row>
    <row r="105" spans="1:17" s="35" customFormat="1" hidden="1" outlineLevel="1" x14ac:dyDescent="0.3">
      <c r="A105" s="34"/>
      <c r="B105" s="10" t="str">
        <f>CONCATENATE("          ","6305", " - ","FREIGHT OUT")</f>
        <v xml:space="preserve">          6305 - FREIGHT OUT</v>
      </c>
      <c r="C105" s="14"/>
      <c r="D105" s="20">
        <v>10982.69</v>
      </c>
      <c r="E105" s="20">
        <v>4399.6499999999996</v>
      </c>
      <c r="F105" s="20">
        <v>13314.15</v>
      </c>
      <c r="G105" s="20">
        <v>26190.81</v>
      </c>
      <c r="H105" s="20">
        <v>11064.07</v>
      </c>
      <c r="I105" s="20">
        <v>12270.64</v>
      </c>
      <c r="J105" s="20">
        <v>15865</v>
      </c>
      <c r="K105" s="20">
        <v>23865</v>
      </c>
      <c r="L105" s="20">
        <v>9265</v>
      </c>
      <c r="M105" s="20">
        <v>3865</v>
      </c>
      <c r="N105" s="20">
        <v>2565</v>
      </c>
      <c r="O105" s="20">
        <v>2065</v>
      </c>
      <c r="P105" s="36"/>
      <c r="Q105" s="2">
        <f>SUM(OSRRefD21_10_0x)+IFERROR(SUM(OSRRefE21_10_0x),0)</f>
        <v>135712.01</v>
      </c>
    </row>
    <row r="106" spans="1:17" s="35" customFormat="1" hidden="1" outlineLevel="1" x14ac:dyDescent="0.3">
      <c r="A106" s="34"/>
      <c r="B106" s="10" t="str">
        <f>CONCATENATE("          ","6307", " - ","POSTAGE")</f>
        <v xml:space="preserve">          6307 - POSTAGE</v>
      </c>
      <c r="C106" s="14"/>
      <c r="D106" s="20">
        <v>-7299.89</v>
      </c>
      <c r="E106" s="20">
        <v>-23772.19</v>
      </c>
      <c r="F106" s="20">
        <v>-9637.5300000000007</v>
      </c>
      <c r="G106" s="20">
        <v>-49704.57</v>
      </c>
      <c r="H106" s="20">
        <v>-5400.67</v>
      </c>
      <c r="I106" s="20">
        <v>-14451.62</v>
      </c>
      <c r="J106" s="20">
        <v>-41390</v>
      </c>
      <c r="K106" s="20">
        <v>-21890</v>
      </c>
      <c r="L106" s="20">
        <v>-5890</v>
      </c>
      <c r="M106" s="20">
        <v>-4390</v>
      </c>
      <c r="N106" s="20">
        <v>-4390</v>
      </c>
      <c r="O106" s="20">
        <v>-4390</v>
      </c>
      <c r="P106" s="36"/>
      <c r="Q106" s="2">
        <f>SUM(OSRRefD21_10_1x)+IFERROR(SUM(OSRRefE21_10_1x),0)</f>
        <v>-192606.46999999997</v>
      </c>
    </row>
    <row r="107" spans="1:17" s="35" customFormat="1" collapsed="1" x14ac:dyDescent="0.3">
      <c r="A107" s="34"/>
      <c r="B107" s="14" t="str">
        <f>CONCATENATE("     ","General                                           ")</f>
        <v xml:space="preserve">     General                                           </v>
      </c>
      <c r="C107" s="14"/>
      <c r="D107" s="1">
        <f>SUM(OSRRefD21_11x_0)</f>
        <v>1271.73</v>
      </c>
      <c r="E107" s="1">
        <f>SUM(OSRRefD21_11x_1)</f>
        <v>20039.87</v>
      </c>
      <c r="F107" s="1">
        <f>SUM(OSRRefD21_11x_2)</f>
        <v>5364.31</v>
      </c>
      <c r="G107" s="1">
        <f>SUM(OSRRefD21_11x_3)</f>
        <v>2393.16</v>
      </c>
      <c r="H107" s="1">
        <f>SUM(OSRRefD21_11x_4)</f>
        <v>1682.28</v>
      </c>
      <c r="I107" s="1">
        <f>SUM(OSRRefD21_11x_5)</f>
        <v>2144.19</v>
      </c>
      <c r="J107" s="1">
        <f>SUM(OSRRefE21_11x_0)</f>
        <v>1060</v>
      </c>
      <c r="K107" s="1">
        <f>SUM(OSRRefE21_11x_1)</f>
        <v>935</v>
      </c>
      <c r="L107" s="1">
        <f>SUM(OSRRefE21_11x_2)</f>
        <v>1670</v>
      </c>
      <c r="M107" s="1">
        <f>SUM(OSRRefE21_11x_3)</f>
        <v>1320</v>
      </c>
      <c r="N107" s="1">
        <f>SUM(OSRRefE21_11x_4)</f>
        <v>1570</v>
      </c>
      <c r="O107" s="1">
        <f>SUM(OSRRefE21_11x_5)</f>
        <v>1820</v>
      </c>
      <c r="Q107" s="2">
        <f>SUM(OSRRefD20_11x)+IFERROR(SUM(OSRRefE20_11x),0)</f>
        <v>41270.54</v>
      </c>
    </row>
    <row r="108" spans="1:17" s="35" customFormat="1" hidden="1" outlineLevel="1" x14ac:dyDescent="0.3">
      <c r="A108" s="34"/>
      <c r="B108" s="10" t="str">
        <f>CONCATENATE("          ","6269", " - ","ENTERTAINMENT")</f>
        <v xml:space="preserve">          6269 - ENTERTAINMENT</v>
      </c>
      <c r="C108" s="14"/>
      <c r="D108" s="20"/>
      <c r="E108" s="20"/>
      <c r="F108" s="20"/>
      <c r="G108" s="20"/>
      <c r="H108" s="20"/>
      <c r="I108" s="20"/>
      <c r="J108" s="20">
        <v>250</v>
      </c>
      <c r="K108" s="20"/>
      <c r="L108" s="20">
        <v>250</v>
      </c>
      <c r="M108" s="20"/>
      <c r="N108" s="20"/>
      <c r="O108" s="20"/>
      <c r="P108" s="36"/>
      <c r="Q108" s="2">
        <f>SUM(OSRRefD21_11_0x)+IFERROR(SUM(OSRRefE21_11_0x),0)</f>
        <v>500</v>
      </c>
    </row>
    <row r="109" spans="1:17" s="35" customFormat="1" hidden="1" outlineLevel="1" x14ac:dyDescent="0.3">
      <c r="A109" s="34"/>
      <c r="B109" s="10" t="str">
        <f>CONCATENATE("          ","6279", " - ","GENERAL EXPENSE")</f>
        <v xml:space="preserve">          6279 - GENERAL EXPENSE</v>
      </c>
      <c r="C109" s="14"/>
      <c r="D109" s="20">
        <v>1271.73</v>
      </c>
      <c r="E109" s="20">
        <v>20039.87</v>
      </c>
      <c r="F109" s="20">
        <v>5364.31</v>
      </c>
      <c r="G109" s="20">
        <v>2393.16</v>
      </c>
      <c r="H109" s="20">
        <v>1682.28</v>
      </c>
      <c r="I109" s="20">
        <v>2144.19</v>
      </c>
      <c r="J109" s="20">
        <v>810</v>
      </c>
      <c r="K109" s="20">
        <v>935</v>
      </c>
      <c r="L109" s="20">
        <v>1420</v>
      </c>
      <c r="M109" s="20">
        <v>1320</v>
      </c>
      <c r="N109" s="20">
        <v>1570</v>
      </c>
      <c r="O109" s="20">
        <v>1820</v>
      </c>
      <c r="P109" s="36"/>
      <c r="Q109" s="2">
        <f>SUM(OSRRefD21_11_1x)+IFERROR(SUM(OSRRefE21_11_1x),0)</f>
        <v>40770.54</v>
      </c>
    </row>
    <row r="110" spans="1:17" s="35" customFormat="1" collapsed="1" x14ac:dyDescent="0.3">
      <c r="A110" s="34"/>
      <c r="B110" s="14" t="str">
        <f>CONCATENATE("     ","Insurance                                         ")</f>
        <v xml:space="preserve">     Insurance                                         </v>
      </c>
      <c r="C110" s="14"/>
      <c r="D110" s="1">
        <f>SUM(OSRRefD21_12x_0)</f>
        <v>11626.44</v>
      </c>
      <c r="E110" s="1">
        <f>SUM(OSRRefD21_12x_1)</f>
        <v>11626.43</v>
      </c>
      <c r="F110" s="1">
        <f>SUM(OSRRefD21_12x_2)</f>
        <v>11626.43</v>
      </c>
      <c r="G110" s="1">
        <f>SUM(OSRRefD21_12x_3)</f>
        <v>18509.43</v>
      </c>
      <c r="H110" s="1">
        <f>SUM(OSRRefD21_12x_4)</f>
        <v>11626.43</v>
      </c>
      <c r="I110" s="1">
        <f>SUM(OSRRefD21_12x_5)</f>
        <v>11626.43</v>
      </c>
      <c r="J110" s="1">
        <f>SUM(OSRRefE21_12x_0)</f>
        <v>11425</v>
      </c>
      <c r="K110" s="1">
        <f>SUM(OSRRefE21_12x_1)</f>
        <v>11425</v>
      </c>
      <c r="L110" s="1">
        <f>SUM(OSRRefE21_12x_2)</f>
        <v>11425</v>
      </c>
      <c r="M110" s="1">
        <f>SUM(OSRRefE21_12x_3)</f>
        <v>11425</v>
      </c>
      <c r="N110" s="1">
        <f>SUM(OSRRefE21_12x_4)</f>
        <v>11425</v>
      </c>
      <c r="O110" s="1">
        <f>SUM(OSRRefE21_12x_5)</f>
        <v>11425</v>
      </c>
      <c r="Q110" s="2">
        <f>SUM(OSRRefD20_12x)+IFERROR(SUM(OSRRefE20_12x),0)</f>
        <v>145191.59</v>
      </c>
    </row>
    <row r="111" spans="1:17" s="35" customFormat="1" hidden="1" outlineLevel="1" x14ac:dyDescent="0.3">
      <c r="A111" s="34"/>
      <c r="B111" s="10" t="str">
        <f>CONCATENATE("          ","6314", " - ","LIABILITY INSURANCE")</f>
        <v xml:space="preserve">          6314 - LIABILITY INSURANCE</v>
      </c>
      <c r="C111" s="14"/>
      <c r="D111" s="20">
        <v>11626.44</v>
      </c>
      <c r="E111" s="20">
        <v>11626.43</v>
      </c>
      <c r="F111" s="20">
        <v>11626.43</v>
      </c>
      <c r="G111" s="20">
        <v>18509.43</v>
      </c>
      <c r="H111" s="20">
        <v>11626.43</v>
      </c>
      <c r="I111" s="20">
        <v>11626.43</v>
      </c>
      <c r="J111" s="20">
        <v>11425</v>
      </c>
      <c r="K111" s="20">
        <v>11425</v>
      </c>
      <c r="L111" s="20">
        <v>11425</v>
      </c>
      <c r="M111" s="20">
        <v>11425</v>
      </c>
      <c r="N111" s="20">
        <v>11425</v>
      </c>
      <c r="O111" s="20">
        <v>11425</v>
      </c>
      <c r="P111" s="36"/>
      <c r="Q111" s="2">
        <f>SUM(OSRRefD21_12_0x)+IFERROR(SUM(OSRRefE21_12_0x),0)</f>
        <v>145191.59</v>
      </c>
    </row>
    <row r="112" spans="1:17" s="35" customFormat="1" collapsed="1" x14ac:dyDescent="0.3">
      <c r="A112" s="34"/>
      <c r="B112" s="14" t="str">
        <f>CONCATENATE("     ","Interest                                          ")</f>
        <v xml:space="preserve">     Interest                                          </v>
      </c>
      <c r="C112" s="14"/>
      <c r="D112" s="1">
        <f>SUM(OSRRefD21_13x_0)</f>
        <v>11158</v>
      </c>
      <c r="E112" s="1">
        <f>SUM(OSRRefD21_13x_1)</f>
        <v>11158</v>
      </c>
      <c r="F112" s="1">
        <f>SUM(OSRRefD21_13x_2)</f>
        <v>11158</v>
      </c>
      <c r="G112" s="1">
        <f>SUM(OSRRefD21_13x_3)</f>
        <v>10368</v>
      </c>
      <c r="H112" s="1">
        <f>SUM(OSRRefD21_13x_4)</f>
        <v>11158</v>
      </c>
      <c r="I112" s="1">
        <f>SUM(OSRRefD21_13x_5)</f>
        <v>11158</v>
      </c>
      <c r="J112" s="1">
        <f>SUM(OSRRefE21_13x_0)</f>
        <v>11158</v>
      </c>
      <c r="K112" s="1">
        <f>SUM(OSRRefE21_13x_1)</f>
        <v>11158</v>
      </c>
      <c r="L112" s="1">
        <f>SUM(OSRRefE21_13x_2)</f>
        <v>11158</v>
      </c>
      <c r="M112" s="1">
        <f>SUM(OSRRefE21_13x_3)</f>
        <v>11158</v>
      </c>
      <c r="N112" s="1">
        <f>SUM(OSRRefE21_13x_4)</f>
        <v>10742</v>
      </c>
      <c r="O112" s="1">
        <f>SUM(OSRRefE21_13x_5)</f>
        <v>10742</v>
      </c>
      <c r="Q112" s="2">
        <f>SUM(OSRRefD20_13x)+IFERROR(SUM(OSRRefE20_13x),0)</f>
        <v>132274</v>
      </c>
    </row>
    <row r="113" spans="1:17" s="35" customFormat="1" hidden="1" outlineLevel="1" x14ac:dyDescent="0.3">
      <c r="A113" s="34"/>
      <c r="B113" s="10" t="str">
        <f>CONCATENATE("          ","6401", " - ","INTEREST EXPENSE")</f>
        <v xml:space="preserve">          6401 - INTEREST EXPENSE</v>
      </c>
      <c r="C113" s="14"/>
      <c r="D113" s="20">
        <v>11158</v>
      </c>
      <c r="E113" s="20">
        <v>11158</v>
      </c>
      <c r="F113" s="20">
        <v>11158</v>
      </c>
      <c r="G113" s="20">
        <v>10368</v>
      </c>
      <c r="H113" s="20">
        <v>11158</v>
      </c>
      <c r="I113" s="20">
        <v>11158</v>
      </c>
      <c r="J113" s="20">
        <v>11158</v>
      </c>
      <c r="K113" s="20">
        <v>11158</v>
      </c>
      <c r="L113" s="20">
        <v>11158</v>
      </c>
      <c r="M113" s="20">
        <v>11158</v>
      </c>
      <c r="N113" s="20">
        <v>10742</v>
      </c>
      <c r="O113" s="20">
        <v>10742</v>
      </c>
      <c r="P113" s="36"/>
      <c r="Q113" s="2">
        <f>SUM(OSRRefD21_13_0x)+IFERROR(SUM(OSRRefE21_13_0x),0)</f>
        <v>132274</v>
      </c>
    </row>
    <row r="114" spans="1:17" s="35" customFormat="1" collapsed="1" x14ac:dyDescent="0.3">
      <c r="A114" s="34"/>
      <c r="B114" s="14" t="str">
        <f>CONCATENATE("     ","Inventory Adjustment                              ")</f>
        <v xml:space="preserve">     Inventory Adjustment                              </v>
      </c>
      <c r="C114" s="14"/>
      <c r="D114" s="1">
        <f>SUM(OSRRefD21_14x_0)</f>
        <v>6570</v>
      </c>
      <c r="E114" s="1">
        <f>SUM(OSRRefD21_14x_1)</f>
        <v>7120</v>
      </c>
      <c r="F114" s="1">
        <f>SUM(OSRRefD21_14x_2)</f>
        <v>5690</v>
      </c>
      <c r="G114" s="1">
        <f>SUM(OSRRefD21_14x_3)</f>
        <v>5690</v>
      </c>
      <c r="H114" s="1">
        <f>SUM(OSRRefD21_14x_4)</f>
        <v>5730</v>
      </c>
      <c r="I114" s="1">
        <f>SUM(OSRRefD21_14x_5)</f>
        <v>9440</v>
      </c>
      <c r="J114" s="1">
        <f>SUM(OSRRefE21_14x_0)</f>
        <v>6070</v>
      </c>
      <c r="K114" s="1">
        <f>SUM(OSRRefE21_14x_1)</f>
        <v>5690</v>
      </c>
      <c r="L114" s="1">
        <f>SUM(OSRRefE21_14x_2)</f>
        <v>5440</v>
      </c>
      <c r="M114" s="1">
        <f>SUM(OSRRefE21_14x_3)</f>
        <v>6200</v>
      </c>
      <c r="N114" s="1">
        <f>SUM(OSRRefE21_14x_4)</f>
        <v>7200</v>
      </c>
      <c r="O114" s="1">
        <f>SUM(OSRRefE21_14x_5)</f>
        <v>19650</v>
      </c>
      <c r="Q114" s="2">
        <f>SUM(OSRRefD20_14x)+IFERROR(SUM(OSRRefE20_14x),0)</f>
        <v>90490</v>
      </c>
    </row>
    <row r="115" spans="1:17" s="35" customFormat="1" hidden="1" outlineLevel="1" x14ac:dyDescent="0.3">
      <c r="A115" s="34"/>
      <c r="B115" s="10" t="str">
        <f>CONCATENATE("          ","6408", " - ","INVENTORY ADJUSTMENT")</f>
        <v xml:space="preserve">          6408 - INVENTORY ADJUSTMENT</v>
      </c>
      <c r="C115" s="14"/>
      <c r="D115" s="20">
        <v>6570</v>
      </c>
      <c r="E115" s="20">
        <v>7120</v>
      </c>
      <c r="F115" s="20">
        <v>5690</v>
      </c>
      <c r="G115" s="20">
        <v>5690</v>
      </c>
      <c r="H115" s="20">
        <v>5730</v>
      </c>
      <c r="I115" s="20">
        <v>9440</v>
      </c>
      <c r="J115" s="20">
        <v>6070</v>
      </c>
      <c r="K115" s="20">
        <v>5690</v>
      </c>
      <c r="L115" s="20">
        <v>5440</v>
      </c>
      <c r="M115" s="20">
        <v>6200</v>
      </c>
      <c r="N115" s="20">
        <v>7200</v>
      </c>
      <c r="O115" s="20">
        <v>19650</v>
      </c>
      <c r="P115" s="36"/>
      <c r="Q115" s="2">
        <f>SUM(OSRRefD21_14_0x)+IFERROR(SUM(OSRRefE21_14_0x),0)</f>
        <v>90490</v>
      </c>
    </row>
    <row r="116" spans="1:17" s="35" customFormat="1" collapsed="1" x14ac:dyDescent="0.3">
      <c r="A116" s="34"/>
      <c r="B116" s="14" t="str">
        <f>CONCATENATE("     ","Professional Services                             ")</f>
        <v xml:space="preserve">     Professional Services                             </v>
      </c>
      <c r="C116" s="14"/>
      <c r="D116" s="1">
        <f>SUM(OSRRefD21_15x_0)</f>
        <v>0</v>
      </c>
      <c r="E116" s="1">
        <f>SUM(OSRRefD21_15x_1)</f>
        <v>0</v>
      </c>
      <c r="F116" s="1">
        <f>SUM(OSRRefD21_15x_2)</f>
        <v>0</v>
      </c>
      <c r="G116" s="1">
        <f>SUM(OSRRefD21_15x_3)</f>
        <v>8186.53</v>
      </c>
      <c r="H116" s="1">
        <f>SUM(OSRRefD21_15x_4)</f>
        <v>0</v>
      </c>
      <c r="I116" s="1">
        <f>SUM(OSRRefD21_15x_5)</f>
        <v>0</v>
      </c>
      <c r="J116" s="1">
        <f>SUM(OSRRefE21_15x_0)</f>
        <v>250</v>
      </c>
      <c r="K116" s="1">
        <f>SUM(OSRRefE21_15x_1)</f>
        <v>0</v>
      </c>
      <c r="L116" s="1">
        <f>SUM(OSRRefE21_15x_2)</f>
        <v>0</v>
      </c>
      <c r="M116" s="1">
        <f>SUM(OSRRefE21_15x_3)</f>
        <v>250</v>
      </c>
      <c r="N116" s="1">
        <f>SUM(OSRRefE21_15x_4)</f>
        <v>0</v>
      </c>
      <c r="O116" s="1">
        <f>SUM(OSRRefE21_15x_5)</f>
        <v>0</v>
      </c>
      <c r="Q116" s="2">
        <f>SUM(OSRRefD20_15x)+IFERROR(SUM(OSRRefE20_15x),0)</f>
        <v>8686.5299999999988</v>
      </c>
    </row>
    <row r="117" spans="1:17" s="35" customFormat="1" hidden="1" outlineLevel="1" x14ac:dyDescent="0.3">
      <c r="A117" s="34"/>
      <c r="B117" s="10" t="str">
        <f>CONCATENATE("          ","6336", " - ","PROFESSIONAL SERVICES")</f>
        <v xml:space="preserve">          6336 - PROFESSIONAL SERVICES</v>
      </c>
      <c r="C117" s="14"/>
      <c r="D117" s="20"/>
      <c r="E117" s="20"/>
      <c r="F117" s="20"/>
      <c r="G117" s="20">
        <v>8186.53</v>
      </c>
      <c r="H117" s="20"/>
      <c r="I117" s="20"/>
      <c r="J117" s="20">
        <v>250</v>
      </c>
      <c r="K117" s="20">
        <v>0</v>
      </c>
      <c r="L117" s="20">
        <v>0</v>
      </c>
      <c r="M117" s="20">
        <v>250</v>
      </c>
      <c r="N117" s="20">
        <v>0</v>
      </c>
      <c r="O117" s="20">
        <v>0</v>
      </c>
      <c r="P117" s="36"/>
      <c r="Q117" s="2">
        <f>SUM(OSRRefD21_15_0x)+IFERROR(SUM(OSRRefE21_15_0x),0)</f>
        <v>8686.5299999999988</v>
      </c>
    </row>
    <row r="118" spans="1:17" s="35" customFormat="1" collapsed="1" x14ac:dyDescent="0.3">
      <c r="A118" s="34"/>
      <c r="B118" s="14" t="str">
        <f>CONCATENATE("     ","R/H Commissions                                   ")</f>
        <v xml:space="preserve">     R/H Commissions                                   </v>
      </c>
      <c r="C118" s="14"/>
      <c r="D118" s="1">
        <f>SUM(OSRRefD21_16x_0)</f>
        <v>1568</v>
      </c>
      <c r="E118" s="1">
        <f>SUM(OSRRefD21_16x_1)</f>
        <v>38588</v>
      </c>
      <c r="F118" s="1">
        <f>SUM(OSRRefD21_16x_2)</f>
        <v>102646.99</v>
      </c>
      <c r="G118" s="1">
        <f>SUM(OSRRefD21_16x_3)</f>
        <v>127967.99</v>
      </c>
      <c r="H118" s="1">
        <f>SUM(OSRRefD21_16x_4)</f>
        <v>102145.22</v>
      </c>
      <c r="I118" s="1">
        <f>SUM(OSRRefD21_16x_5)</f>
        <v>76752.539999999994</v>
      </c>
      <c r="J118" s="1">
        <f>SUM(OSRRefE21_16x_0)</f>
        <v>35482</v>
      </c>
      <c r="K118" s="1">
        <f>SUM(OSRRefE21_16x_1)</f>
        <v>90317</v>
      </c>
      <c r="L118" s="1">
        <f>SUM(OSRRefE21_16x_2)</f>
        <v>87091</v>
      </c>
      <c r="M118" s="1">
        <f>SUM(OSRRefE21_16x_3)</f>
        <v>87091</v>
      </c>
      <c r="N118" s="1">
        <f>SUM(OSRRefE21_16x_4)</f>
        <v>44064</v>
      </c>
      <c r="O118" s="1">
        <f>SUM(OSRRefE21_16x_5)</f>
        <v>0</v>
      </c>
      <c r="Q118" s="2">
        <f>SUM(OSRRefD20_16x)+IFERROR(SUM(OSRRefE20_16x),0)</f>
        <v>793713.74</v>
      </c>
    </row>
    <row r="119" spans="1:17" s="35" customFormat="1" hidden="1" outlineLevel="1" x14ac:dyDescent="0.3">
      <c r="A119" s="34"/>
      <c r="B119" s="10" t="str">
        <f>CONCATENATE("          ","6387", " - ","COMMISSION DUE HOUSING")</f>
        <v xml:space="preserve">          6387 - COMMISSION DUE HOUSING</v>
      </c>
      <c r="C119" s="14"/>
      <c r="D119" s="20">
        <v>1568</v>
      </c>
      <c r="E119" s="20">
        <v>38588</v>
      </c>
      <c r="F119" s="20">
        <v>102646.99</v>
      </c>
      <c r="G119" s="20">
        <v>127967.99</v>
      </c>
      <c r="H119" s="20">
        <v>102145.22</v>
      </c>
      <c r="I119" s="20">
        <v>76752.539999999994</v>
      </c>
      <c r="J119" s="20">
        <v>35482</v>
      </c>
      <c r="K119" s="20">
        <v>90317</v>
      </c>
      <c r="L119" s="20">
        <v>87091</v>
      </c>
      <c r="M119" s="20">
        <v>87091</v>
      </c>
      <c r="N119" s="20">
        <v>44064</v>
      </c>
      <c r="O119" s="20"/>
      <c r="P119" s="36"/>
      <c r="Q119" s="2">
        <f>SUM(OSRRefD21_16_0x)+IFERROR(SUM(OSRRefE21_16_0x),0)</f>
        <v>793713.74</v>
      </c>
    </row>
    <row r="120" spans="1:17" s="35" customFormat="1" collapsed="1" x14ac:dyDescent="0.3">
      <c r="A120" s="34"/>
      <c r="B120" s="14" t="str">
        <f>CONCATENATE("     ","Rent                                              ")</f>
        <v xml:space="preserve">     Rent                                              </v>
      </c>
      <c r="C120" s="14"/>
      <c r="D120" s="1">
        <f>SUM(OSRRefD21_17x_0)</f>
        <v>8750</v>
      </c>
      <c r="E120" s="1">
        <f>SUM(OSRRefD21_17x_1)</f>
        <v>8750</v>
      </c>
      <c r="F120" s="1">
        <f>SUM(OSRRefD21_17x_2)</f>
        <v>8750</v>
      </c>
      <c r="G120" s="1">
        <f>SUM(OSRRefD21_17x_3)</f>
        <v>8750</v>
      </c>
      <c r="H120" s="1">
        <f>SUM(OSRRefD21_17x_4)</f>
        <v>8750</v>
      </c>
      <c r="I120" s="1">
        <f>SUM(OSRRefD21_17x_5)</f>
        <v>8750</v>
      </c>
      <c r="J120" s="1">
        <f>SUM(OSRRefE21_17x_0)</f>
        <v>8750</v>
      </c>
      <c r="K120" s="1">
        <f>SUM(OSRRefE21_17x_1)</f>
        <v>8750</v>
      </c>
      <c r="L120" s="1">
        <f>SUM(OSRRefE21_17x_2)</f>
        <v>8750</v>
      </c>
      <c r="M120" s="1">
        <f>SUM(OSRRefE21_17x_3)</f>
        <v>8750</v>
      </c>
      <c r="N120" s="1">
        <f>SUM(OSRRefE21_17x_4)</f>
        <v>8750</v>
      </c>
      <c r="O120" s="1">
        <f>SUM(OSRRefE21_17x_5)</f>
        <v>8750</v>
      </c>
      <c r="Q120" s="2">
        <f>SUM(OSRRefD20_17x)+IFERROR(SUM(OSRRefE20_17x),0)</f>
        <v>105000</v>
      </c>
    </row>
    <row r="121" spans="1:17" s="35" customFormat="1" hidden="1" outlineLevel="1" x14ac:dyDescent="0.3">
      <c r="A121" s="34"/>
      <c r="B121" s="10" t="str">
        <f>CONCATENATE("          ","6273", " - ","RENT")</f>
        <v xml:space="preserve">          6273 - RENT</v>
      </c>
      <c r="C121" s="14"/>
      <c r="D121" s="20">
        <v>8750</v>
      </c>
      <c r="E121" s="20">
        <v>8750</v>
      </c>
      <c r="F121" s="20">
        <v>8750</v>
      </c>
      <c r="G121" s="20">
        <v>8750</v>
      </c>
      <c r="H121" s="20">
        <v>8750</v>
      </c>
      <c r="I121" s="20">
        <v>8750</v>
      </c>
      <c r="J121" s="20">
        <v>8750</v>
      </c>
      <c r="K121" s="20">
        <v>8750</v>
      </c>
      <c r="L121" s="20">
        <v>8750</v>
      </c>
      <c r="M121" s="20">
        <v>8750</v>
      </c>
      <c r="N121" s="20">
        <v>8750</v>
      </c>
      <c r="O121" s="20">
        <v>8750</v>
      </c>
      <c r="P121" s="36"/>
      <c r="Q121" s="2">
        <f>SUM(OSRRefD21_17_0x)+IFERROR(SUM(OSRRefE21_17_0x),0)</f>
        <v>105000</v>
      </c>
    </row>
    <row r="122" spans="1:17" s="35" customFormat="1" collapsed="1" x14ac:dyDescent="0.3">
      <c r="A122" s="34"/>
      <c r="B122" s="14" t="str">
        <f>CONCATENATE("     ","Repair and Maintenance                            ")</f>
        <v xml:space="preserve">     Repair and Maintenance                            </v>
      </c>
      <c r="C122" s="14"/>
      <c r="D122" s="1">
        <f>SUM(OSRRefD21_18x_0)</f>
        <v>194024.06</v>
      </c>
      <c r="E122" s="1">
        <f>SUM(OSRRefD21_18x_1)</f>
        <v>36023.160000000003</v>
      </c>
      <c r="F122" s="1">
        <f>SUM(OSRRefD21_18x_2)</f>
        <v>11438.830000000002</v>
      </c>
      <c r="G122" s="1">
        <f>SUM(OSRRefD21_18x_3)</f>
        <v>27285.43</v>
      </c>
      <c r="H122" s="1">
        <f>SUM(OSRRefD21_18x_4)</f>
        <v>10867.77</v>
      </c>
      <c r="I122" s="1">
        <f>SUM(OSRRefD21_18x_5)</f>
        <v>22530.019999999997</v>
      </c>
      <c r="J122" s="1">
        <f>SUM(OSRRefE21_18x_0)</f>
        <v>33526</v>
      </c>
      <c r="K122" s="1">
        <f>SUM(OSRRefE21_18x_1)</f>
        <v>43739</v>
      </c>
      <c r="L122" s="1">
        <f>SUM(OSRRefE21_18x_2)</f>
        <v>21798</v>
      </c>
      <c r="M122" s="1">
        <f>SUM(OSRRefE21_18x_3)</f>
        <v>27039</v>
      </c>
      <c r="N122" s="1">
        <f>SUM(OSRRefE21_18x_4)</f>
        <v>22589</v>
      </c>
      <c r="O122" s="1">
        <f>SUM(OSRRefE21_18x_5)</f>
        <v>19865</v>
      </c>
      <c r="Q122" s="2">
        <f>SUM(OSRRefD20_18x)+IFERROR(SUM(OSRRefE20_18x),0)</f>
        <v>470725.27</v>
      </c>
    </row>
    <row r="123" spans="1:17" s="35" customFormat="1" hidden="1" outlineLevel="1" x14ac:dyDescent="0.3">
      <c r="A123" s="34"/>
      <c r="B123" s="10" t="str">
        <f>CONCATENATE("          ","6371", " - ","COMPUTER SOFTWARE MAINTENANCE")</f>
        <v xml:space="preserve">          6371 - COMPUTER SOFTWARE MAINTENANCE</v>
      </c>
      <c r="C123" s="14"/>
      <c r="D123" s="20">
        <v>63123.5</v>
      </c>
      <c r="E123" s="20">
        <v>8677.7199999999993</v>
      </c>
      <c r="F123" s="20">
        <v>3500</v>
      </c>
      <c r="G123" s="20">
        <v>6547.18</v>
      </c>
      <c r="H123" s="20">
        <v>3880.32</v>
      </c>
      <c r="I123" s="20">
        <v>4118.3599999999997</v>
      </c>
      <c r="J123" s="20">
        <v>4500</v>
      </c>
      <c r="K123" s="20">
        <v>4500</v>
      </c>
      <c r="L123" s="20">
        <v>4500</v>
      </c>
      <c r="M123" s="20">
        <v>4500</v>
      </c>
      <c r="N123" s="20">
        <v>4500</v>
      </c>
      <c r="O123" s="20">
        <v>4500</v>
      </c>
      <c r="P123" s="36"/>
      <c r="Q123" s="2">
        <f>SUM(OSRRefD21_18_0x)+IFERROR(SUM(OSRRefE21_18_0x),0)</f>
        <v>116847.08</v>
      </c>
    </row>
    <row r="124" spans="1:17" s="35" customFormat="1" hidden="1" outlineLevel="1" x14ac:dyDescent="0.3">
      <c r="A124" s="34"/>
      <c r="B124" s="10" t="str">
        <f>CONCATENATE("          ","6372", " - ","COMPUTER HARDWARE MAINTENANCE")</f>
        <v xml:space="preserve">          6372 - COMPUTER HARDWARE MAINTENANCE</v>
      </c>
      <c r="C124" s="14"/>
      <c r="D124" s="20"/>
      <c r="E124" s="20"/>
      <c r="F124" s="20"/>
      <c r="G124" s="20"/>
      <c r="H124" s="20"/>
      <c r="I124" s="20"/>
      <c r="J124" s="20">
        <v>14950</v>
      </c>
      <c r="K124" s="20">
        <v>6950</v>
      </c>
      <c r="L124" s="20">
        <v>6950</v>
      </c>
      <c r="M124" s="20">
        <v>6950</v>
      </c>
      <c r="N124" s="20">
        <v>6950</v>
      </c>
      <c r="O124" s="20">
        <v>6950</v>
      </c>
      <c r="P124" s="36"/>
      <c r="Q124" s="2">
        <f>SUM(OSRRefD21_18_1x)+IFERROR(SUM(OSRRefE21_18_1x),0)</f>
        <v>49700</v>
      </c>
    </row>
    <row r="125" spans="1:17" s="35" customFormat="1" hidden="1" outlineLevel="1" x14ac:dyDescent="0.3">
      <c r="A125" s="34"/>
      <c r="B125" s="10" t="str">
        <f>CONCATENATE("          ","6373", " - ","MAINTENANCE CONTRACTS")</f>
        <v xml:space="preserve">          6373 - MAINTENANCE CONTRACTS</v>
      </c>
      <c r="C125" s="14"/>
      <c r="D125" s="20">
        <v>122670.12</v>
      </c>
      <c r="E125" s="20">
        <v>6010.42</v>
      </c>
      <c r="F125" s="20">
        <v>2767.77</v>
      </c>
      <c r="G125" s="20">
        <v>6946.49</v>
      </c>
      <c r="H125" s="20">
        <v>3052.32</v>
      </c>
      <c r="I125" s="20">
        <v>7565.69</v>
      </c>
      <c r="J125" s="20">
        <v>10635</v>
      </c>
      <c r="K125" s="20">
        <v>27955</v>
      </c>
      <c r="L125" s="20">
        <v>6093</v>
      </c>
      <c r="M125" s="20">
        <v>10635</v>
      </c>
      <c r="N125" s="20">
        <v>7655</v>
      </c>
      <c r="O125" s="20">
        <v>5955</v>
      </c>
      <c r="P125" s="36"/>
      <c r="Q125" s="2">
        <f>SUM(OSRRefD21_18_2x)+IFERROR(SUM(OSRRefE21_18_2x),0)</f>
        <v>217940.81</v>
      </c>
    </row>
    <row r="126" spans="1:17" s="35" customFormat="1" hidden="1" outlineLevel="1" x14ac:dyDescent="0.3">
      <c r="A126" s="34"/>
      <c r="B126" s="10" t="str">
        <f>CONCATENATE("          ","6375", " - ","OUTSIDE REPAIRS &amp; MAINTENANCE")</f>
        <v xml:space="preserve">          6375 - OUTSIDE REPAIRS &amp; MAINTENANCE</v>
      </c>
      <c r="C126" s="14"/>
      <c r="D126" s="20">
        <v>8230.44</v>
      </c>
      <c r="E126" s="20">
        <v>21335.02</v>
      </c>
      <c r="F126" s="20">
        <v>5171.0600000000004</v>
      </c>
      <c r="G126" s="20">
        <v>13791.76</v>
      </c>
      <c r="H126" s="20">
        <v>3935.13</v>
      </c>
      <c r="I126" s="20">
        <v>10845.97</v>
      </c>
      <c r="J126" s="20">
        <v>3441</v>
      </c>
      <c r="K126" s="20">
        <v>4334</v>
      </c>
      <c r="L126" s="20">
        <v>4255</v>
      </c>
      <c r="M126" s="20">
        <v>4954</v>
      </c>
      <c r="N126" s="20">
        <v>3484</v>
      </c>
      <c r="O126" s="20">
        <v>2460</v>
      </c>
      <c r="P126" s="36"/>
      <c r="Q126" s="2">
        <f>SUM(OSRRefD21_18_3x)+IFERROR(SUM(OSRRefE21_18_3x),0)</f>
        <v>86237.38</v>
      </c>
    </row>
    <row r="127" spans="1:17" s="35" customFormat="1" collapsed="1" x14ac:dyDescent="0.3">
      <c r="A127" s="34"/>
      <c r="B127" s="14" t="str">
        <f>CONCATENATE("     ","Royalty &amp; Commissions                             ")</f>
        <v xml:space="preserve">     Royalty &amp; Commissions                             </v>
      </c>
      <c r="C127" s="14"/>
      <c r="D127" s="1">
        <f>SUM(OSRRefD21_19x_0)</f>
        <v>7355.1000000000013</v>
      </c>
      <c r="E127" s="1">
        <f>SUM(OSRRefD21_19x_1)</f>
        <v>601.89</v>
      </c>
      <c r="F127" s="1">
        <f>SUM(OSRRefD21_19x_2)</f>
        <v>1174.22</v>
      </c>
      <c r="G127" s="1">
        <f>SUM(OSRRefD21_19x_3)</f>
        <v>11775.939999999999</v>
      </c>
      <c r="H127" s="1">
        <f>SUM(OSRRefD21_19x_4)</f>
        <v>1150.99</v>
      </c>
      <c r="I127" s="1">
        <f>SUM(OSRRefD21_19x_5)</f>
        <v>1533.7</v>
      </c>
      <c r="J127" s="1">
        <f>SUM(OSRRefE21_19x_0)</f>
        <v>20055</v>
      </c>
      <c r="K127" s="1">
        <f>SUM(OSRRefE21_19x_1)</f>
        <v>8090</v>
      </c>
      <c r="L127" s="1">
        <f>SUM(OSRRefE21_19x_2)</f>
        <v>5181</v>
      </c>
      <c r="M127" s="1">
        <f>SUM(OSRRefE21_19x_3)</f>
        <v>19437</v>
      </c>
      <c r="N127" s="1">
        <f>SUM(OSRRefE21_19x_4)</f>
        <v>10895</v>
      </c>
      <c r="O127" s="1">
        <f>SUM(OSRRefE21_19x_5)</f>
        <v>10158</v>
      </c>
      <c r="Q127" s="2">
        <f>SUM(OSRRefD20_19x)+IFERROR(SUM(OSRRefE20_19x),0)</f>
        <v>97407.84</v>
      </c>
    </row>
    <row r="128" spans="1:17" s="35" customFormat="1" hidden="1" outlineLevel="1" x14ac:dyDescent="0.3">
      <c r="A128" s="34"/>
      <c r="B128" s="10" t="str">
        <f>CONCATENATE("          ","6252", " - ","ROYALTY DUE CSTV")</f>
        <v xml:space="preserve">          6252 - ROYALTY DUE CSTV</v>
      </c>
      <c r="C128" s="14"/>
      <c r="D128" s="20"/>
      <c r="E128" s="20"/>
      <c r="F128" s="20"/>
      <c r="G128" s="20"/>
      <c r="H128" s="20"/>
      <c r="I128" s="20"/>
      <c r="J128" s="20">
        <v>821</v>
      </c>
      <c r="K128" s="20">
        <v>446</v>
      </c>
      <c r="L128" s="20">
        <v>1085</v>
      </c>
      <c r="M128" s="20">
        <v>948</v>
      </c>
      <c r="N128" s="20">
        <v>2156</v>
      </c>
      <c r="O128" s="20">
        <v>3322</v>
      </c>
      <c r="P128" s="36"/>
      <c r="Q128" s="2">
        <f>SUM(OSRRefD21_19_0x)+IFERROR(SUM(OSRRefE21_19_0x),0)</f>
        <v>8778</v>
      </c>
    </row>
    <row r="129" spans="1:17" s="35" customFormat="1" hidden="1" outlineLevel="1" x14ac:dyDescent="0.3">
      <c r="A129" s="34"/>
      <c r="B129" s="10" t="str">
        <f>CONCATENATE("          ","6253", " - ","ROYALTY DUE ATHLETICS-LRG")</f>
        <v xml:space="preserve">          6253 - ROYALTY DUE ATHLETICS-LRG</v>
      </c>
      <c r="C129" s="14"/>
      <c r="D129" s="20">
        <v>14376.54</v>
      </c>
      <c r="E129" s="20"/>
      <c r="F129" s="20"/>
      <c r="G129" s="20">
        <v>8783.75</v>
      </c>
      <c r="H129" s="20"/>
      <c r="I129" s="20"/>
      <c r="J129" s="20">
        <v>7785</v>
      </c>
      <c r="K129" s="20">
        <v>0</v>
      </c>
      <c r="L129" s="20">
        <v>0</v>
      </c>
      <c r="M129" s="20">
        <v>14555</v>
      </c>
      <c r="N129" s="20">
        <v>0</v>
      </c>
      <c r="O129" s="20">
        <v>0</v>
      </c>
      <c r="P129" s="36"/>
      <c r="Q129" s="2">
        <f>SUM(OSRRefD21_19_1x)+IFERROR(SUM(OSRRefE21_19_1x),0)</f>
        <v>45500.29</v>
      </c>
    </row>
    <row r="130" spans="1:17" s="35" customFormat="1" hidden="1" outlineLevel="1" x14ac:dyDescent="0.3">
      <c r="A130" s="34"/>
      <c r="B130" s="10" t="str">
        <f>CONCATENATE("          ","6254", " - ","ROYALTY &amp; COMMISSIONS")</f>
        <v xml:space="preserve">          6254 - ROYALTY &amp; COMMISSIONS</v>
      </c>
      <c r="C130" s="14"/>
      <c r="D130" s="20">
        <v>-7027.5</v>
      </c>
      <c r="E130" s="20"/>
      <c r="F130" s="20"/>
      <c r="G130" s="20">
        <v>1066.22</v>
      </c>
      <c r="H130" s="20">
        <v>366.22</v>
      </c>
      <c r="I130" s="20">
        <v>412.47</v>
      </c>
      <c r="J130" s="20">
        <v>500</v>
      </c>
      <c r="K130" s="20">
        <v>1000</v>
      </c>
      <c r="L130" s="20">
        <v>1000</v>
      </c>
      <c r="M130" s="20">
        <v>1000</v>
      </c>
      <c r="N130" s="20">
        <v>1000</v>
      </c>
      <c r="O130" s="20">
        <v>0</v>
      </c>
      <c r="P130" s="36"/>
      <c r="Q130" s="2">
        <f>SUM(OSRRefD21_19_2x)+IFERROR(SUM(OSRRefE21_19_2x),0)</f>
        <v>-682.58999999999924</v>
      </c>
    </row>
    <row r="131" spans="1:17" s="35" customFormat="1" hidden="1" outlineLevel="1" x14ac:dyDescent="0.3">
      <c r="A131" s="34"/>
      <c r="B131" s="10" t="str">
        <f>CONCATENATE("          ","6259", " - ","ROYALTY &amp; COMMISSIONS")</f>
        <v xml:space="preserve">          6259 - ROYALTY &amp; COMMISSIONS</v>
      </c>
      <c r="C131" s="14"/>
      <c r="D131" s="20">
        <v>6.06</v>
      </c>
      <c r="E131" s="20">
        <v>601.89</v>
      </c>
      <c r="F131" s="20">
        <v>1174.22</v>
      </c>
      <c r="G131" s="20">
        <v>1925.97</v>
      </c>
      <c r="H131" s="20">
        <v>784.77</v>
      </c>
      <c r="I131" s="20">
        <v>1121.23</v>
      </c>
      <c r="J131" s="20">
        <v>10949</v>
      </c>
      <c r="K131" s="20">
        <v>6644</v>
      </c>
      <c r="L131" s="20">
        <v>3096</v>
      </c>
      <c r="M131" s="20">
        <v>2934</v>
      </c>
      <c r="N131" s="20">
        <v>7739</v>
      </c>
      <c r="O131" s="20">
        <v>6836</v>
      </c>
      <c r="P131" s="36"/>
      <c r="Q131" s="2">
        <f>SUM(OSRRefD21_19_3x)+IFERROR(SUM(OSRRefE21_19_3x),0)</f>
        <v>43812.14</v>
      </c>
    </row>
    <row r="132" spans="1:17" s="35" customFormat="1" collapsed="1" x14ac:dyDescent="0.3">
      <c r="A132" s="34"/>
      <c r="B132" s="14" t="str">
        <f>CONCATENATE("     ","Services                                          ")</f>
        <v xml:space="preserve">     Services                                          </v>
      </c>
      <c r="C132" s="14"/>
      <c r="D132" s="1">
        <f>SUM(OSRRefD21_20x_0)</f>
        <v>21826.320000000003</v>
      </c>
      <c r="E132" s="1">
        <f>SUM(OSRRefD21_20x_1)</f>
        <v>50552.71</v>
      </c>
      <c r="F132" s="1">
        <f>SUM(OSRRefD21_20x_2)</f>
        <v>26170.71</v>
      </c>
      <c r="G132" s="1">
        <f>SUM(OSRRefD21_20x_3)</f>
        <v>34896.58</v>
      </c>
      <c r="H132" s="1">
        <f>SUM(OSRRefD21_20x_4)</f>
        <v>28531.78</v>
      </c>
      <c r="I132" s="1">
        <f>SUM(OSRRefD21_20x_5)</f>
        <v>22796.309999999998</v>
      </c>
      <c r="J132" s="1">
        <f>SUM(OSRRefE21_20x_0)</f>
        <v>37585</v>
      </c>
      <c r="K132" s="1">
        <f>SUM(OSRRefE21_20x_1)</f>
        <v>37453</v>
      </c>
      <c r="L132" s="1">
        <f>SUM(OSRRefE21_20x_2)</f>
        <v>37513</v>
      </c>
      <c r="M132" s="1">
        <f>SUM(OSRRefE21_20x_3)</f>
        <v>38450</v>
      </c>
      <c r="N132" s="1">
        <f>SUM(OSRRefE21_20x_4)</f>
        <v>37453</v>
      </c>
      <c r="O132" s="1">
        <f>SUM(OSRRefE21_20x_5)</f>
        <v>37596</v>
      </c>
      <c r="Q132" s="2">
        <f>SUM(OSRRefD20_20x)+IFERROR(SUM(OSRRefE20_20x),0)</f>
        <v>410824.41000000003</v>
      </c>
    </row>
    <row r="133" spans="1:17" s="35" customFormat="1" hidden="1" outlineLevel="1" x14ac:dyDescent="0.3">
      <c r="A133" s="34"/>
      <c r="B133" s="10" t="str">
        <f>CONCATENATE("          ","6282", " - ","JANITORIAL/EXTERMINATOR EXPENS")</f>
        <v xml:space="preserve">          6282 - JANITORIAL/EXTERMINATOR EXPENS</v>
      </c>
      <c r="C133" s="14"/>
      <c r="D133" s="20">
        <v>2330.4499999999998</v>
      </c>
      <c r="E133" s="20">
        <v>2054.2399999999998</v>
      </c>
      <c r="F133" s="20">
        <v>4362.9399999999996</v>
      </c>
      <c r="G133" s="20">
        <v>6099.35</v>
      </c>
      <c r="H133" s="20">
        <v>3176.63</v>
      </c>
      <c r="I133" s="20">
        <v>2456.15</v>
      </c>
      <c r="J133" s="20">
        <v>7256</v>
      </c>
      <c r="K133" s="20">
        <v>7256</v>
      </c>
      <c r="L133" s="20">
        <v>7256</v>
      </c>
      <c r="M133" s="20">
        <v>7256</v>
      </c>
      <c r="N133" s="20">
        <v>7256</v>
      </c>
      <c r="O133" s="20">
        <v>7256</v>
      </c>
      <c r="P133" s="36"/>
      <c r="Q133" s="2">
        <f>SUM(OSRRefD21_20_0x)+IFERROR(SUM(OSRRefE21_20_0x),0)</f>
        <v>64015.76</v>
      </c>
    </row>
    <row r="134" spans="1:17" s="35" customFormat="1" hidden="1" outlineLevel="1" x14ac:dyDescent="0.3">
      <c r="A134" s="34"/>
      <c r="B134" s="10" t="str">
        <f>CONCATENATE("          ","6283", " - ","PLANT SERVICE")</f>
        <v xml:space="preserve">          6283 - PLANT SERVICE</v>
      </c>
      <c r="C134" s="14"/>
      <c r="D134" s="20"/>
      <c r="E134" s="20"/>
      <c r="F134" s="20"/>
      <c r="G134" s="20"/>
      <c r="H134" s="20"/>
      <c r="I134" s="20"/>
      <c r="J134" s="20">
        <v>100</v>
      </c>
      <c r="K134" s="20">
        <v>100</v>
      </c>
      <c r="L134" s="20">
        <v>100</v>
      </c>
      <c r="M134" s="20">
        <v>100</v>
      </c>
      <c r="N134" s="20">
        <v>100</v>
      </c>
      <c r="O134" s="20">
        <v>100</v>
      </c>
      <c r="P134" s="36"/>
      <c r="Q134" s="2">
        <f>SUM(OSRRefD21_20_1x)+IFERROR(SUM(OSRRefE21_20_1x),0)</f>
        <v>600</v>
      </c>
    </row>
    <row r="135" spans="1:17" s="35" customFormat="1" hidden="1" outlineLevel="1" x14ac:dyDescent="0.3">
      <c r="A135" s="34"/>
      <c r="B135" s="10" t="str">
        <f>CONCATENATE("          ","6284", " - ","TRASH REMOVAL EXPENSE")</f>
        <v xml:space="preserve">          6284 - TRASH REMOVAL EXPENSE</v>
      </c>
      <c r="C135" s="14"/>
      <c r="D135" s="20">
        <v>142.57</v>
      </c>
      <c r="E135" s="20">
        <v>149.69999999999999</v>
      </c>
      <c r="F135" s="20">
        <v>149.69999999999999</v>
      </c>
      <c r="G135" s="20">
        <v>149.69999999999999</v>
      </c>
      <c r="H135" s="20">
        <v>149.69999999999999</v>
      </c>
      <c r="I135" s="20">
        <v>149.69999999999999</v>
      </c>
      <c r="J135" s="20">
        <v>1660</v>
      </c>
      <c r="K135" s="20">
        <v>1660</v>
      </c>
      <c r="L135" s="20">
        <v>1720</v>
      </c>
      <c r="M135" s="20">
        <v>1660</v>
      </c>
      <c r="N135" s="20">
        <v>1660</v>
      </c>
      <c r="O135" s="20">
        <v>1720</v>
      </c>
      <c r="P135" s="36"/>
      <c r="Q135" s="2">
        <f>SUM(OSRRefD21_20_2x)+IFERROR(SUM(OSRRefE21_20_2x),0)</f>
        <v>10971.07</v>
      </c>
    </row>
    <row r="136" spans="1:17" s="35" customFormat="1" hidden="1" outlineLevel="1" x14ac:dyDescent="0.3">
      <c r="A136" s="34"/>
      <c r="B136" s="10" t="str">
        <f>CONCATENATE("          ","6285", " - ","JANITORIAL SERVICES")</f>
        <v xml:space="preserve">          6285 - JANITORIAL SERVICES</v>
      </c>
      <c r="C136" s="14"/>
      <c r="D136" s="20">
        <v>18270.330000000002</v>
      </c>
      <c r="E136" s="20">
        <v>45794.2</v>
      </c>
      <c r="F136" s="20">
        <v>20228.560000000001</v>
      </c>
      <c r="G136" s="20">
        <v>21211.46</v>
      </c>
      <c r="H136" s="20">
        <v>22379.7</v>
      </c>
      <c r="I136" s="20">
        <v>18038.61</v>
      </c>
      <c r="J136" s="20">
        <v>23083</v>
      </c>
      <c r="K136" s="20">
        <v>23083</v>
      </c>
      <c r="L136" s="20">
        <v>23083</v>
      </c>
      <c r="M136" s="20">
        <v>23958</v>
      </c>
      <c r="N136" s="20">
        <v>23083</v>
      </c>
      <c r="O136" s="20">
        <v>23083</v>
      </c>
      <c r="P136" s="36"/>
      <c r="Q136" s="2">
        <f>SUM(OSRRefD21_20_3x)+IFERROR(SUM(OSRRefE21_20_3x),0)</f>
        <v>285295.86</v>
      </c>
    </row>
    <row r="137" spans="1:17" s="35" customFormat="1" hidden="1" outlineLevel="1" x14ac:dyDescent="0.3">
      <c r="A137" s="34"/>
      <c r="B137" s="10" t="str">
        <f>CONCATENATE("          ","6286", " - ","LAUNDRY EXPENSE")</f>
        <v xml:space="preserve">          6286 - LAUNDRY EXPENSE</v>
      </c>
      <c r="C137" s="14"/>
      <c r="D137" s="20">
        <v>1082.97</v>
      </c>
      <c r="E137" s="20">
        <v>2554.5700000000002</v>
      </c>
      <c r="F137" s="20">
        <v>1429.51</v>
      </c>
      <c r="G137" s="20">
        <v>7436.07</v>
      </c>
      <c r="H137" s="20">
        <v>2825.75</v>
      </c>
      <c r="I137" s="20">
        <v>2151.85</v>
      </c>
      <c r="J137" s="20">
        <v>5486</v>
      </c>
      <c r="K137" s="20">
        <v>5354</v>
      </c>
      <c r="L137" s="20">
        <v>5354</v>
      </c>
      <c r="M137" s="20">
        <v>5476</v>
      </c>
      <c r="N137" s="20">
        <v>5354</v>
      </c>
      <c r="O137" s="20">
        <v>5437</v>
      </c>
      <c r="P137" s="36"/>
      <c r="Q137" s="2">
        <f>SUM(OSRRefD21_20_4x)+IFERROR(SUM(OSRRefE21_20_4x),0)</f>
        <v>49941.72</v>
      </c>
    </row>
    <row r="138" spans="1:17" s="35" customFormat="1" collapsed="1" x14ac:dyDescent="0.3">
      <c r="A138" s="34"/>
      <c r="B138" s="14" t="str">
        <f>CONCATENATE("     ","Subscriptions &amp; Dues                              ")</f>
        <v xml:space="preserve">     Subscriptions &amp; Dues                              </v>
      </c>
      <c r="C138" s="14"/>
      <c r="D138" s="1">
        <f>SUM(OSRRefD21_21x_0)</f>
        <v>198.98999999999998</v>
      </c>
      <c r="E138" s="1">
        <f>SUM(OSRRefD21_21x_1)</f>
        <v>650.59</v>
      </c>
      <c r="F138" s="1">
        <f>SUM(OSRRefD21_21x_2)</f>
        <v>336.37</v>
      </c>
      <c r="G138" s="1">
        <f>SUM(OSRRefD21_21x_3)</f>
        <v>1717.8899999999999</v>
      </c>
      <c r="H138" s="1">
        <f>SUM(OSRRefD21_21x_4)</f>
        <v>718.16</v>
      </c>
      <c r="I138" s="1">
        <f>SUM(OSRRefD21_21x_5)</f>
        <v>1742.35</v>
      </c>
      <c r="J138" s="1">
        <f>SUM(OSRRefE21_21x_0)</f>
        <v>3076</v>
      </c>
      <c r="K138" s="1">
        <f>SUM(OSRRefE21_21x_1)</f>
        <v>2156</v>
      </c>
      <c r="L138" s="1">
        <f>SUM(OSRRefE21_21x_2)</f>
        <v>1176</v>
      </c>
      <c r="M138" s="1">
        <f>SUM(OSRRefE21_21x_3)</f>
        <v>2156</v>
      </c>
      <c r="N138" s="1">
        <f>SUM(OSRRefE21_21x_4)</f>
        <v>1176</v>
      </c>
      <c r="O138" s="1">
        <f>SUM(OSRRefE21_21x_5)</f>
        <v>1356</v>
      </c>
      <c r="Q138" s="2">
        <f>SUM(OSRRefD20_21x)+IFERROR(SUM(OSRRefE20_21x),0)</f>
        <v>16460.349999999999</v>
      </c>
    </row>
    <row r="139" spans="1:17" s="35" customFormat="1" hidden="1" outlineLevel="1" x14ac:dyDescent="0.3">
      <c r="A139" s="34"/>
      <c r="B139" s="10" t="str">
        <f>CONCATENATE("          ","6258", " - ","MEMBERSHIP DUES")</f>
        <v xml:space="preserve">          6258 - MEMBERSHIP DUES</v>
      </c>
      <c r="C139" s="14"/>
      <c r="D139" s="20">
        <v>68.319999999999993</v>
      </c>
      <c r="E139" s="20">
        <v>57</v>
      </c>
      <c r="F139" s="20">
        <v>-72.56</v>
      </c>
      <c r="G139" s="20">
        <v>904.08</v>
      </c>
      <c r="H139" s="20">
        <v>148.66</v>
      </c>
      <c r="I139" s="20">
        <v>286.24</v>
      </c>
      <c r="J139" s="20">
        <v>385</v>
      </c>
      <c r="K139" s="20">
        <v>1385</v>
      </c>
      <c r="L139" s="20">
        <v>385</v>
      </c>
      <c r="M139" s="20">
        <v>1385</v>
      </c>
      <c r="N139" s="20">
        <v>385</v>
      </c>
      <c r="O139" s="20">
        <v>585</v>
      </c>
      <c r="P139" s="36"/>
      <c r="Q139" s="2">
        <f>SUM(OSRRefD21_21_0x)+IFERROR(SUM(OSRRefE21_21_0x),0)</f>
        <v>5901.74</v>
      </c>
    </row>
    <row r="140" spans="1:17" s="35" customFormat="1" hidden="1" outlineLevel="1" x14ac:dyDescent="0.3">
      <c r="A140" s="34"/>
      <c r="B140" s="10" t="str">
        <f>CONCATENATE("          ","6275", " - ","SUBSCRIPTIONS")</f>
        <v xml:space="preserve">          6275 - SUBSCRIPTIONS</v>
      </c>
      <c r="C140" s="14"/>
      <c r="D140" s="20">
        <v>130.66999999999999</v>
      </c>
      <c r="E140" s="20">
        <v>593.59</v>
      </c>
      <c r="F140" s="20">
        <v>408.93</v>
      </c>
      <c r="G140" s="20">
        <v>813.81</v>
      </c>
      <c r="H140" s="20">
        <v>569.5</v>
      </c>
      <c r="I140" s="20">
        <v>1456.11</v>
      </c>
      <c r="J140" s="20">
        <v>2691</v>
      </c>
      <c r="K140" s="20">
        <v>771</v>
      </c>
      <c r="L140" s="20">
        <v>791</v>
      </c>
      <c r="M140" s="20">
        <v>771</v>
      </c>
      <c r="N140" s="20">
        <v>791</v>
      </c>
      <c r="O140" s="20">
        <v>771</v>
      </c>
      <c r="P140" s="36"/>
      <c r="Q140" s="2">
        <f>SUM(OSRRefD21_21_1x)+IFERROR(SUM(OSRRefE21_21_1x),0)</f>
        <v>10558.61</v>
      </c>
    </row>
    <row r="141" spans="1:17" s="35" customFormat="1" collapsed="1" x14ac:dyDescent="0.3">
      <c r="A141" s="34"/>
      <c r="B141" s="14" t="str">
        <f>CONCATENATE("     ","Supplies                                          ")</f>
        <v xml:space="preserve">     Supplies                                          </v>
      </c>
      <c r="C141" s="14"/>
      <c r="D141" s="1">
        <f>SUM(OSRRefD21_22x_0)</f>
        <v>16538.2</v>
      </c>
      <c r="E141" s="1">
        <f>SUM(OSRRefD21_22x_1)</f>
        <v>44678.270000000004</v>
      </c>
      <c r="F141" s="1">
        <f>SUM(OSRRefD21_22x_2)</f>
        <v>57008.959999999999</v>
      </c>
      <c r="G141" s="1">
        <f>SUM(OSRRefD21_22x_3)</f>
        <v>117629.37999999998</v>
      </c>
      <c r="H141" s="1">
        <f>SUM(OSRRefD21_22x_4)</f>
        <v>28990.579999999998</v>
      </c>
      <c r="I141" s="1">
        <f>SUM(OSRRefD21_22x_5)</f>
        <v>37255.919999999998</v>
      </c>
      <c r="J141" s="1">
        <f>SUM(OSRRefE21_22x_0)</f>
        <v>58765</v>
      </c>
      <c r="K141" s="1">
        <f>SUM(OSRRefE21_22x_1)</f>
        <v>53415</v>
      </c>
      <c r="L141" s="1">
        <f>SUM(OSRRefE21_22x_2)</f>
        <v>45615</v>
      </c>
      <c r="M141" s="1">
        <f>SUM(OSRRefE21_22x_3)</f>
        <v>49115</v>
      </c>
      <c r="N141" s="1">
        <f>SUM(OSRRefE21_22x_4)</f>
        <v>50205</v>
      </c>
      <c r="O141" s="1">
        <f>SUM(OSRRefE21_22x_5)</f>
        <v>40480</v>
      </c>
      <c r="Q141" s="2">
        <f>SUM(OSRRefD20_22x)+IFERROR(SUM(OSRRefE20_22x),0)</f>
        <v>599696.30999999994</v>
      </c>
    </row>
    <row r="142" spans="1:17" s="35" customFormat="1" hidden="1" outlineLevel="1" x14ac:dyDescent="0.3">
      <c r="A142" s="34"/>
      <c r="B142" s="10" t="str">
        <f>CONCATENATE("          ","6234", " - ","EXPENDABLE SUPPLIES &amp; EQUIPMEN")</f>
        <v xml:space="preserve">          6234 - EXPENDABLE SUPPLIES &amp; EQUIPMEN</v>
      </c>
      <c r="C142" s="14"/>
      <c r="D142" s="20"/>
      <c r="E142" s="20"/>
      <c r="F142" s="20">
        <v>21.98</v>
      </c>
      <c r="G142" s="20">
        <v>3737.3</v>
      </c>
      <c r="H142" s="20">
        <v>2747.16</v>
      </c>
      <c r="I142" s="20">
        <v>315</v>
      </c>
      <c r="J142" s="20">
        <v>6642</v>
      </c>
      <c r="K142" s="20">
        <v>6492</v>
      </c>
      <c r="L142" s="20">
        <v>6492</v>
      </c>
      <c r="M142" s="20">
        <v>6492</v>
      </c>
      <c r="N142" s="20">
        <v>6492</v>
      </c>
      <c r="O142" s="20">
        <v>6488</v>
      </c>
      <c r="P142" s="36"/>
      <c r="Q142" s="2">
        <f>SUM(OSRRefD21_22_0x)+IFERROR(SUM(OSRRefE21_22_0x),0)</f>
        <v>45919.44</v>
      </c>
    </row>
    <row r="143" spans="1:17" s="35" customFormat="1" hidden="1" outlineLevel="1" x14ac:dyDescent="0.3">
      <c r="A143" s="34"/>
      <c r="B143" s="10" t="str">
        <f>CONCATENATE("          ","6235", " - ","COVID-19 EXPENSES")</f>
        <v xml:space="preserve">          6235 - COVID-19 EXPENSES</v>
      </c>
      <c r="C143" s="14"/>
      <c r="D143" s="20">
        <v>272.22000000000003</v>
      </c>
      <c r="E143" s="20">
        <v>2695.61</v>
      </c>
      <c r="F143" s="20">
        <v>655.99</v>
      </c>
      <c r="G143" s="20"/>
      <c r="H143" s="20"/>
      <c r="I143" s="20"/>
      <c r="J143" s="20">
        <v>375</v>
      </c>
      <c r="K143" s="20">
        <v>375</v>
      </c>
      <c r="L143" s="20">
        <v>375</v>
      </c>
      <c r="M143" s="20">
        <v>375</v>
      </c>
      <c r="N143" s="20">
        <v>375</v>
      </c>
      <c r="O143" s="20">
        <v>350</v>
      </c>
      <c r="P143" s="36"/>
      <c r="Q143" s="2">
        <f>SUM(OSRRefD21_22_1x)+IFERROR(SUM(OSRRefE21_22_1x),0)</f>
        <v>5848.82</v>
      </c>
    </row>
    <row r="144" spans="1:17" s="35" customFormat="1" hidden="1" outlineLevel="1" x14ac:dyDescent="0.3">
      <c r="A144" s="34"/>
      <c r="B144" s="10" t="str">
        <f>CONCATENATE("          ","6237", " - ","JANITORIAL SUPPLIES")</f>
        <v xml:space="preserve">          6237 - JANITORIAL SUPPLIES</v>
      </c>
      <c r="C144" s="14"/>
      <c r="D144" s="20">
        <v>5360.09</v>
      </c>
      <c r="E144" s="20">
        <v>5053.05</v>
      </c>
      <c r="F144" s="20">
        <v>13865.8</v>
      </c>
      <c r="G144" s="20">
        <v>7075.92</v>
      </c>
      <c r="H144" s="20">
        <v>5132.4399999999996</v>
      </c>
      <c r="I144" s="20">
        <v>5627.79</v>
      </c>
      <c r="J144" s="20">
        <v>10035</v>
      </c>
      <c r="K144" s="20">
        <v>10035</v>
      </c>
      <c r="L144" s="20">
        <v>9985</v>
      </c>
      <c r="M144" s="20">
        <v>10035</v>
      </c>
      <c r="N144" s="20">
        <v>10025</v>
      </c>
      <c r="O144" s="20">
        <v>7935</v>
      </c>
      <c r="P144" s="36"/>
      <c r="Q144" s="2">
        <f>SUM(OSRRefD21_22_2x)+IFERROR(SUM(OSRRefE21_22_2x),0)</f>
        <v>100165.09</v>
      </c>
    </row>
    <row r="145" spans="1:17" s="35" customFormat="1" hidden="1" outlineLevel="1" x14ac:dyDescent="0.3">
      <c r="A145" s="34"/>
      <c r="B145" s="10" t="str">
        <f>CONCATENATE("          ","6239", " - ","KITCHEN SUPPLIES")</f>
        <v xml:space="preserve">          6239 - KITCHEN SUPPLIES</v>
      </c>
      <c r="C145" s="14"/>
      <c r="D145" s="20">
        <v>32.03</v>
      </c>
      <c r="E145" s="20">
        <v>3069.8</v>
      </c>
      <c r="F145" s="20">
        <v>11018.05</v>
      </c>
      <c r="G145" s="20">
        <v>10993.74</v>
      </c>
      <c r="H145" s="20">
        <v>1163.5</v>
      </c>
      <c r="I145" s="20">
        <v>738.59</v>
      </c>
      <c r="J145" s="20">
        <v>3850</v>
      </c>
      <c r="K145" s="20">
        <v>3550</v>
      </c>
      <c r="L145" s="20">
        <v>3300</v>
      </c>
      <c r="M145" s="20">
        <v>3300</v>
      </c>
      <c r="N145" s="20">
        <v>3300</v>
      </c>
      <c r="O145" s="20">
        <v>3300</v>
      </c>
      <c r="P145" s="36"/>
      <c r="Q145" s="2">
        <f>SUM(OSRRefD21_22_3x)+IFERROR(SUM(OSRRefE21_22_3x),0)</f>
        <v>47615.71</v>
      </c>
    </row>
    <row r="146" spans="1:17" s="35" customFormat="1" hidden="1" outlineLevel="1" x14ac:dyDescent="0.3">
      <c r="A146" s="34"/>
      <c r="B146" s="10" t="str">
        <f>CONCATENATE("          ","6241", " - ","OFFICE EXPENSE")</f>
        <v xml:space="preserve">          6241 - OFFICE EXPENSE</v>
      </c>
      <c r="C146" s="14"/>
      <c r="D146" s="20">
        <v>1860.65</v>
      </c>
      <c r="E146" s="20">
        <v>11881.58</v>
      </c>
      <c r="F146" s="20">
        <v>2951.74</v>
      </c>
      <c r="G146" s="20">
        <v>22884.22</v>
      </c>
      <c r="H146" s="20">
        <v>1621.89</v>
      </c>
      <c r="I146" s="20">
        <v>3619.51</v>
      </c>
      <c r="J146" s="20">
        <v>2425</v>
      </c>
      <c r="K146" s="20">
        <v>2275</v>
      </c>
      <c r="L146" s="20">
        <v>2075</v>
      </c>
      <c r="M146" s="20">
        <v>2025</v>
      </c>
      <c r="N146" s="20">
        <v>2075</v>
      </c>
      <c r="O146" s="20">
        <v>1975</v>
      </c>
      <c r="P146" s="36"/>
      <c r="Q146" s="2">
        <f>SUM(OSRRefD21_22_4x)+IFERROR(SUM(OSRRefE21_22_4x),0)</f>
        <v>57669.590000000004</v>
      </c>
    </row>
    <row r="147" spans="1:17" s="35" customFormat="1" hidden="1" outlineLevel="1" x14ac:dyDescent="0.3">
      <c r="A147" s="34"/>
      <c r="B147" s="10" t="str">
        <f>CONCATENATE("          ","6243", " - ","PAPER SUPPLIES")</f>
        <v xml:space="preserve">          6243 - PAPER SUPPLIES</v>
      </c>
      <c r="C147" s="14"/>
      <c r="D147" s="20">
        <v>2877.69</v>
      </c>
      <c r="E147" s="20">
        <v>16472.22</v>
      </c>
      <c r="F147" s="20">
        <v>23477.5</v>
      </c>
      <c r="G147" s="20">
        <v>58972.06</v>
      </c>
      <c r="H147" s="20">
        <v>14963.48</v>
      </c>
      <c r="I147" s="20">
        <v>21319.1</v>
      </c>
      <c r="J147" s="20">
        <v>21900</v>
      </c>
      <c r="K147" s="20">
        <v>17900</v>
      </c>
      <c r="L147" s="20">
        <v>14250</v>
      </c>
      <c r="M147" s="20">
        <v>18300</v>
      </c>
      <c r="N147" s="20">
        <v>16900</v>
      </c>
      <c r="O147" s="20">
        <v>13250</v>
      </c>
      <c r="P147" s="36"/>
      <c r="Q147" s="2">
        <f>SUM(OSRRefD21_22_5x)+IFERROR(SUM(OSRRefE21_22_5x),0)</f>
        <v>240582.05</v>
      </c>
    </row>
    <row r="148" spans="1:17" s="35" customFormat="1" hidden="1" outlineLevel="1" x14ac:dyDescent="0.3">
      <c r="A148" s="34"/>
      <c r="B148" s="10" t="str">
        <f>CONCATENATE("          ","6244", " - ","SAFETY SUPPLY EXPENSE")</f>
        <v xml:space="preserve">          6244 - SAFETY SUPPLY EXPENSE</v>
      </c>
      <c r="C148" s="14"/>
      <c r="D148" s="20"/>
      <c r="E148" s="20"/>
      <c r="F148" s="20"/>
      <c r="G148" s="20"/>
      <c r="H148" s="20"/>
      <c r="I148" s="20"/>
      <c r="J148" s="20">
        <v>525</v>
      </c>
      <c r="K148" s="20">
        <v>525</v>
      </c>
      <c r="L148" s="20">
        <v>525</v>
      </c>
      <c r="M148" s="20">
        <v>575</v>
      </c>
      <c r="N148" s="20">
        <v>525</v>
      </c>
      <c r="O148" s="20">
        <v>525</v>
      </c>
      <c r="P148" s="36"/>
      <c r="Q148" s="2">
        <f>SUM(OSRRefD21_22_6x)+IFERROR(SUM(OSRRefE21_22_6x),0)</f>
        <v>3200</v>
      </c>
    </row>
    <row r="149" spans="1:17" s="35" customFormat="1" hidden="1" outlineLevel="1" x14ac:dyDescent="0.3">
      <c r="A149" s="34"/>
      <c r="B149" s="10" t="str">
        <f>CONCATENATE("          ","6245", " - ","PRINTING")</f>
        <v xml:space="preserve">          6245 - PRINTING</v>
      </c>
      <c r="C149" s="14"/>
      <c r="D149" s="20">
        <v>251.64</v>
      </c>
      <c r="E149" s="20">
        <v>-851.82</v>
      </c>
      <c r="F149" s="20">
        <v>276.43</v>
      </c>
      <c r="G149" s="20">
        <v>1367.68</v>
      </c>
      <c r="H149" s="20">
        <v>1092.56</v>
      </c>
      <c r="I149" s="20">
        <v>1046.49</v>
      </c>
      <c r="J149" s="20">
        <v>4150</v>
      </c>
      <c r="K149" s="20">
        <v>1700</v>
      </c>
      <c r="L149" s="20">
        <v>600</v>
      </c>
      <c r="M149" s="20">
        <v>150</v>
      </c>
      <c r="N149" s="20">
        <v>2400</v>
      </c>
      <c r="O149" s="20">
        <v>150</v>
      </c>
      <c r="P149" s="36"/>
      <c r="Q149" s="2">
        <f>SUM(OSRRefD21_22_7x)+IFERROR(SUM(OSRRefE21_22_7x),0)</f>
        <v>12332.98</v>
      </c>
    </row>
    <row r="150" spans="1:17" s="35" customFormat="1" hidden="1" outlineLevel="1" x14ac:dyDescent="0.3">
      <c r="A150" s="34"/>
      <c r="B150" s="10" t="str">
        <f>CONCATENATE("          ","6247", " - ","STORE SUPPLIES")</f>
        <v xml:space="preserve">          6247 - STORE SUPPLIES</v>
      </c>
      <c r="C150" s="14"/>
      <c r="D150" s="20">
        <v>5883.88</v>
      </c>
      <c r="E150" s="20">
        <v>6357.83</v>
      </c>
      <c r="F150" s="20">
        <v>4741.47</v>
      </c>
      <c r="G150" s="20">
        <v>6987.23</v>
      </c>
      <c r="H150" s="20">
        <v>2016.6</v>
      </c>
      <c r="I150" s="20">
        <v>4589.4399999999996</v>
      </c>
      <c r="J150" s="20">
        <v>7775</v>
      </c>
      <c r="K150" s="20">
        <v>9475</v>
      </c>
      <c r="L150" s="20">
        <v>7425</v>
      </c>
      <c r="M150" s="20">
        <v>7275</v>
      </c>
      <c r="N150" s="20">
        <v>7525</v>
      </c>
      <c r="O150" s="20">
        <v>5925</v>
      </c>
      <c r="P150" s="36"/>
      <c r="Q150" s="2">
        <f>SUM(OSRRefD21_22_8x)+IFERROR(SUM(OSRRefE21_22_8x),0)</f>
        <v>75976.45</v>
      </c>
    </row>
    <row r="151" spans="1:17" s="35" customFormat="1" hidden="1" outlineLevel="1" x14ac:dyDescent="0.3">
      <c r="A151" s="34"/>
      <c r="B151" s="10" t="str">
        <f>CONCATENATE("          ","6248", " - ","UNIFORMS")</f>
        <v xml:space="preserve">          6248 - UNIFORMS</v>
      </c>
      <c r="C151" s="14"/>
      <c r="D151" s="20"/>
      <c r="E151" s="20"/>
      <c r="F151" s="20"/>
      <c r="G151" s="20">
        <v>5611.23</v>
      </c>
      <c r="H151" s="20">
        <v>252.95</v>
      </c>
      <c r="I151" s="20"/>
      <c r="J151" s="20">
        <v>1088</v>
      </c>
      <c r="K151" s="20">
        <v>1088</v>
      </c>
      <c r="L151" s="20">
        <v>588</v>
      </c>
      <c r="M151" s="20">
        <v>588</v>
      </c>
      <c r="N151" s="20">
        <v>588</v>
      </c>
      <c r="O151" s="20">
        <v>582</v>
      </c>
      <c r="P151" s="36"/>
      <c r="Q151" s="2">
        <f>SUM(OSRRefD21_22_9x)+IFERROR(SUM(OSRRefE21_22_9x),0)</f>
        <v>10386.18</v>
      </c>
    </row>
    <row r="152" spans="1:17" s="35" customFormat="1" collapsed="1" x14ac:dyDescent="0.3">
      <c r="A152" s="34"/>
      <c r="B152" s="14" t="str">
        <f>CONCATENATE("     ","Telephone/Data Lines                              ")</f>
        <v xml:space="preserve">     Telephone/Data Lines                              </v>
      </c>
      <c r="C152" s="14"/>
      <c r="D152" s="1">
        <f>SUM(OSRRefD21_23x_0)</f>
        <v>2742.84</v>
      </c>
      <c r="E152" s="1">
        <f>SUM(OSRRefD21_23x_1)</f>
        <v>3874.49</v>
      </c>
      <c r="F152" s="1">
        <f>SUM(OSRRefD21_23x_2)</f>
        <v>3604.77</v>
      </c>
      <c r="G152" s="1">
        <f>SUM(OSRRefD21_23x_3)</f>
        <v>4785.75</v>
      </c>
      <c r="H152" s="1">
        <f>SUM(OSRRefD21_23x_4)</f>
        <v>3576.09</v>
      </c>
      <c r="I152" s="1">
        <f>SUM(OSRRefD21_23x_5)</f>
        <v>2527.56</v>
      </c>
      <c r="J152" s="1">
        <f>SUM(OSRRefE21_23x_0)</f>
        <v>3799</v>
      </c>
      <c r="K152" s="1">
        <f>SUM(OSRRefE21_23x_1)</f>
        <v>3549</v>
      </c>
      <c r="L152" s="1">
        <f>SUM(OSRRefE21_23x_2)</f>
        <v>3549</v>
      </c>
      <c r="M152" s="1">
        <f>SUM(OSRRefE21_23x_3)</f>
        <v>3549</v>
      </c>
      <c r="N152" s="1">
        <f>SUM(OSRRefE21_23x_4)</f>
        <v>3699</v>
      </c>
      <c r="O152" s="1">
        <f>SUM(OSRRefE21_23x_5)</f>
        <v>3553</v>
      </c>
      <c r="Q152" s="2">
        <f>SUM(OSRRefD20_23x)+IFERROR(SUM(OSRRefE20_23x),0)</f>
        <v>42809.5</v>
      </c>
    </row>
    <row r="153" spans="1:17" s="35" customFormat="1" hidden="1" outlineLevel="1" x14ac:dyDescent="0.3">
      <c r="A153" s="34"/>
      <c r="B153" s="10" t="str">
        <f>CONCATENATE("          ","6303", " - ","DATA PHONE LINES")</f>
        <v xml:space="preserve">          6303 - DATA PHONE LINES</v>
      </c>
      <c r="C153" s="14"/>
      <c r="D153" s="20">
        <v>295</v>
      </c>
      <c r="E153" s="20"/>
      <c r="F153" s="20"/>
      <c r="G153" s="20"/>
      <c r="H153" s="20"/>
      <c r="I153" s="20"/>
      <c r="J153" s="20">
        <v>243</v>
      </c>
      <c r="K153" s="20">
        <v>243</v>
      </c>
      <c r="L153" s="20">
        <v>243</v>
      </c>
      <c r="M153" s="20">
        <v>243</v>
      </c>
      <c r="N153" s="20">
        <v>243</v>
      </c>
      <c r="O153" s="20">
        <v>247</v>
      </c>
      <c r="P153" s="36"/>
      <c r="Q153" s="2">
        <f>SUM(OSRRefD21_23_0x)+IFERROR(SUM(OSRRefE21_23_0x),0)</f>
        <v>1757</v>
      </c>
    </row>
    <row r="154" spans="1:17" s="35" customFormat="1" hidden="1" outlineLevel="1" x14ac:dyDescent="0.3">
      <c r="A154" s="34"/>
      <c r="B154" s="10" t="str">
        <f>CONCATENATE("          ","6309", " - ","TELEPHONE")</f>
        <v xml:space="preserve">          6309 - TELEPHONE</v>
      </c>
      <c r="C154" s="14"/>
      <c r="D154" s="20">
        <v>2447.84</v>
      </c>
      <c r="E154" s="20">
        <v>3874.49</v>
      </c>
      <c r="F154" s="20">
        <v>3604.77</v>
      </c>
      <c r="G154" s="20">
        <v>4785.75</v>
      </c>
      <c r="H154" s="20">
        <v>3576.09</v>
      </c>
      <c r="I154" s="20">
        <v>2527.56</v>
      </c>
      <c r="J154" s="20">
        <v>3556</v>
      </c>
      <c r="K154" s="20">
        <v>3306</v>
      </c>
      <c r="L154" s="20">
        <v>3306</v>
      </c>
      <c r="M154" s="20">
        <v>3306</v>
      </c>
      <c r="N154" s="20">
        <v>3456</v>
      </c>
      <c r="O154" s="20">
        <v>3306</v>
      </c>
      <c r="P154" s="36"/>
      <c r="Q154" s="2">
        <f>SUM(OSRRefD21_23_1x)+IFERROR(SUM(OSRRefE21_23_1x),0)</f>
        <v>41052.5</v>
      </c>
    </row>
    <row r="155" spans="1:17" s="35" customFormat="1" collapsed="1" x14ac:dyDescent="0.3">
      <c r="A155" s="34"/>
      <c r="B155" s="14" t="str">
        <f>CONCATENATE("     ","Training                                          ")</f>
        <v xml:space="preserve">     Training                                          </v>
      </c>
      <c r="C155" s="14"/>
      <c r="D155" s="1">
        <f>SUM(OSRRefD21_24x_0)</f>
        <v>0</v>
      </c>
      <c r="E155" s="1">
        <f>SUM(OSRRefD21_24x_1)</f>
        <v>0</v>
      </c>
      <c r="F155" s="1">
        <f>SUM(OSRRefD21_24x_2)</f>
        <v>595</v>
      </c>
      <c r="G155" s="1">
        <f>SUM(OSRRefD21_24x_3)</f>
        <v>2000</v>
      </c>
      <c r="H155" s="1">
        <f>SUM(OSRRefD21_24x_4)</f>
        <v>245</v>
      </c>
      <c r="I155" s="1">
        <f>SUM(OSRRefD21_24x_5)</f>
        <v>825</v>
      </c>
      <c r="J155" s="1">
        <f>SUM(OSRRefE21_24x_0)</f>
        <v>2795</v>
      </c>
      <c r="K155" s="1">
        <f>SUM(OSRRefE21_24x_1)</f>
        <v>2640</v>
      </c>
      <c r="L155" s="1">
        <f>SUM(OSRRefE21_24x_2)</f>
        <v>6915</v>
      </c>
      <c r="M155" s="1">
        <f>SUM(OSRRefE21_24x_3)</f>
        <v>2115</v>
      </c>
      <c r="N155" s="1">
        <f>SUM(OSRRefE21_24x_4)</f>
        <v>615</v>
      </c>
      <c r="O155" s="1">
        <f>SUM(OSRRefE21_24x_5)</f>
        <v>1615</v>
      </c>
      <c r="Q155" s="2">
        <f>SUM(OSRRefD20_24x)+IFERROR(SUM(OSRRefE20_24x),0)</f>
        <v>20360</v>
      </c>
    </row>
    <row r="156" spans="1:17" s="35" customFormat="1" hidden="1" outlineLevel="1" x14ac:dyDescent="0.3">
      <c r="A156" s="34"/>
      <c r="B156" s="10" t="str">
        <f>CONCATENATE("          ","6376", " - ","TRAINING")</f>
        <v xml:space="preserve">          6376 - TRAINING</v>
      </c>
      <c r="C156" s="14"/>
      <c r="D156" s="20"/>
      <c r="E156" s="20"/>
      <c r="F156" s="20">
        <v>595</v>
      </c>
      <c r="G156" s="20">
        <v>2000</v>
      </c>
      <c r="H156" s="20">
        <v>245</v>
      </c>
      <c r="I156" s="20">
        <v>825</v>
      </c>
      <c r="J156" s="20">
        <v>2795</v>
      </c>
      <c r="K156" s="20">
        <v>2640</v>
      </c>
      <c r="L156" s="20">
        <v>6915</v>
      </c>
      <c r="M156" s="20">
        <v>2115</v>
      </c>
      <c r="N156" s="20">
        <v>615</v>
      </c>
      <c r="O156" s="20">
        <v>1615</v>
      </c>
      <c r="P156" s="36"/>
      <c r="Q156" s="2">
        <f>SUM(OSRRefD21_24_0x)+IFERROR(SUM(OSRRefE21_24_0x),0)</f>
        <v>20360</v>
      </c>
    </row>
    <row r="157" spans="1:17" s="35" customFormat="1" collapsed="1" x14ac:dyDescent="0.3">
      <c r="A157" s="34"/>
      <c r="B157" s="14" t="str">
        <f>CONCATENATE("     ","Travel                                            ")</f>
        <v xml:space="preserve">     Travel                                            </v>
      </c>
      <c r="C157" s="14"/>
      <c r="D157" s="1">
        <f>SUM(OSRRefD21_25x_0)</f>
        <v>683.14</v>
      </c>
      <c r="E157" s="1">
        <f>SUM(OSRRefD21_25x_1)</f>
        <v>595</v>
      </c>
      <c r="F157" s="1">
        <f>SUM(OSRRefD21_25x_2)</f>
        <v>131.41</v>
      </c>
      <c r="G157" s="1">
        <f>SUM(OSRRefD21_25x_3)</f>
        <v>50</v>
      </c>
      <c r="H157" s="1">
        <f>SUM(OSRRefD21_25x_4)</f>
        <v>115.67</v>
      </c>
      <c r="I157" s="1">
        <f>SUM(OSRRefD21_25x_5)</f>
        <v>24.4</v>
      </c>
      <c r="J157" s="1">
        <f>SUM(OSRRefE21_25x_0)</f>
        <v>175</v>
      </c>
      <c r="K157" s="1">
        <f>SUM(OSRRefE21_25x_1)</f>
        <v>775</v>
      </c>
      <c r="L157" s="1">
        <f>SUM(OSRRefE21_25x_2)</f>
        <v>775</v>
      </c>
      <c r="M157" s="1">
        <f>SUM(OSRRefE21_25x_3)</f>
        <v>175</v>
      </c>
      <c r="N157" s="1">
        <f>SUM(OSRRefE21_25x_4)</f>
        <v>175</v>
      </c>
      <c r="O157" s="1">
        <f>SUM(OSRRefE21_25x_5)</f>
        <v>175</v>
      </c>
      <c r="Q157" s="2">
        <f>SUM(OSRRefD20_25x)+IFERROR(SUM(OSRRefE20_25x),0)</f>
        <v>3849.62</v>
      </c>
    </row>
    <row r="158" spans="1:17" s="35" customFormat="1" hidden="1" outlineLevel="1" x14ac:dyDescent="0.3">
      <c r="A158" s="34"/>
      <c r="B158" s="10" t="str">
        <f>CONCATENATE("          ","6292", " - ","TRAVEL/CONFERENCE")</f>
        <v xml:space="preserve">          6292 - TRAVEL/CONFERENCE</v>
      </c>
      <c r="C158" s="14"/>
      <c r="D158" s="20">
        <v>495</v>
      </c>
      <c r="E158" s="20">
        <v>595</v>
      </c>
      <c r="F158" s="20"/>
      <c r="G158" s="20"/>
      <c r="H158" s="20">
        <v>18.59</v>
      </c>
      <c r="I158" s="20"/>
      <c r="J158" s="20">
        <v>125</v>
      </c>
      <c r="K158" s="20">
        <v>725</v>
      </c>
      <c r="L158" s="20">
        <v>725</v>
      </c>
      <c r="M158" s="20">
        <v>125</v>
      </c>
      <c r="N158" s="20">
        <v>125</v>
      </c>
      <c r="O158" s="20">
        <v>125</v>
      </c>
      <c r="P158" s="36"/>
      <c r="Q158" s="2">
        <f>SUM(OSRRefD21_25_0x)+IFERROR(SUM(OSRRefE21_25_0x),0)</f>
        <v>3058.59</v>
      </c>
    </row>
    <row r="159" spans="1:17" s="35" customFormat="1" hidden="1" outlineLevel="1" x14ac:dyDescent="0.3">
      <c r="A159" s="34"/>
      <c r="B159" s="10" t="str">
        <f>CONCATENATE("          ","6294", " - ","TRAVEL OPERATIONAL")</f>
        <v xml:space="preserve">          6294 - TRAVEL OPERATIONAL</v>
      </c>
      <c r="C159" s="14"/>
      <c r="D159" s="20">
        <v>188.14</v>
      </c>
      <c r="E159" s="20"/>
      <c r="F159" s="20">
        <v>27.39</v>
      </c>
      <c r="G159" s="20"/>
      <c r="H159" s="20"/>
      <c r="I159" s="20">
        <v>24.4</v>
      </c>
      <c r="J159" s="20">
        <v>25</v>
      </c>
      <c r="K159" s="20">
        <v>25</v>
      </c>
      <c r="L159" s="20">
        <v>25</v>
      </c>
      <c r="M159" s="20">
        <v>25</v>
      </c>
      <c r="N159" s="20">
        <v>25</v>
      </c>
      <c r="O159" s="20">
        <v>25</v>
      </c>
      <c r="P159" s="36"/>
      <c r="Q159" s="2">
        <f>SUM(OSRRefD21_25_1x)+IFERROR(SUM(OSRRefE21_25_1x),0)</f>
        <v>389.92999999999995</v>
      </c>
    </row>
    <row r="160" spans="1:17" s="35" customFormat="1" hidden="1" outlineLevel="1" x14ac:dyDescent="0.3">
      <c r="A160" s="34"/>
      <c r="B160" s="10" t="str">
        <f>CONCATENATE("          ","6298", " - ","VEHICLE MILEAGE")</f>
        <v xml:space="preserve">          6298 - VEHICLE MILEAGE</v>
      </c>
      <c r="C160" s="14"/>
      <c r="D160" s="20"/>
      <c r="E160" s="20"/>
      <c r="F160" s="20">
        <v>104.02</v>
      </c>
      <c r="G160" s="20">
        <v>50</v>
      </c>
      <c r="H160" s="20">
        <v>97.08</v>
      </c>
      <c r="I160" s="20"/>
      <c r="J160" s="20">
        <v>25</v>
      </c>
      <c r="K160" s="20">
        <v>25</v>
      </c>
      <c r="L160" s="20">
        <v>25</v>
      </c>
      <c r="M160" s="20">
        <v>25</v>
      </c>
      <c r="N160" s="20">
        <v>25</v>
      </c>
      <c r="O160" s="20">
        <v>25</v>
      </c>
      <c r="P160" s="36"/>
      <c r="Q160" s="2">
        <f>SUM(OSRRefD21_25_2x)+IFERROR(SUM(OSRRefE21_25_2x),0)</f>
        <v>401.09999999999997</v>
      </c>
    </row>
    <row r="161" spans="1:17" s="35" customFormat="1" collapsed="1" x14ac:dyDescent="0.3">
      <c r="A161" s="34"/>
      <c r="B161" s="14" t="str">
        <f>CONCATENATE("     ","Utilities                                         ")</f>
        <v xml:space="preserve">     Utilities                                         </v>
      </c>
      <c r="C161" s="14"/>
      <c r="D161" s="1">
        <f>SUM(OSRRefD21_26x_0)</f>
        <v>14286.49</v>
      </c>
      <c r="E161" s="1">
        <f>SUM(OSRRefD21_26x_1)</f>
        <v>14287.29</v>
      </c>
      <c r="F161" s="1">
        <f>SUM(OSRRefD21_26x_2)</f>
        <v>14287.6</v>
      </c>
      <c r="G161" s="1">
        <f>SUM(OSRRefD21_26x_3)</f>
        <v>11888.6</v>
      </c>
      <c r="H161" s="1">
        <f>SUM(OSRRefD21_26x_4)</f>
        <v>14283.61</v>
      </c>
      <c r="I161" s="1">
        <f>SUM(OSRRefD21_26x_5)</f>
        <v>8312.92</v>
      </c>
      <c r="J161" s="1">
        <f>SUM(OSRRefE21_26x_0)</f>
        <v>14787</v>
      </c>
      <c r="K161" s="1">
        <f>SUM(OSRRefE21_26x_1)</f>
        <v>17467</v>
      </c>
      <c r="L161" s="1">
        <f>SUM(OSRRefE21_26x_2)</f>
        <v>14787</v>
      </c>
      <c r="M161" s="1">
        <f>SUM(OSRRefE21_26x_3)</f>
        <v>14787</v>
      </c>
      <c r="N161" s="1">
        <f>SUM(OSRRefE21_26x_4)</f>
        <v>14787</v>
      </c>
      <c r="O161" s="1">
        <f>SUM(OSRRefE21_26x_5)</f>
        <v>14783</v>
      </c>
      <c r="Q161" s="2">
        <f>SUM(OSRRefD20_26x)+IFERROR(SUM(OSRRefE20_26x),0)</f>
        <v>168744.51</v>
      </c>
    </row>
    <row r="162" spans="1:17" s="35" customFormat="1" hidden="1" outlineLevel="1" x14ac:dyDescent="0.3">
      <c r="A162" s="34"/>
      <c r="B162" s="10" t="str">
        <f>CONCATENATE("          ","6274", " - ","UTILITIES")</f>
        <v xml:space="preserve">          6274 - UTILITIES</v>
      </c>
      <c r="C162" s="14"/>
      <c r="D162" s="20">
        <v>14286.49</v>
      </c>
      <c r="E162" s="20">
        <v>14287.29</v>
      </c>
      <c r="F162" s="20">
        <v>14287.6</v>
      </c>
      <c r="G162" s="20">
        <v>11888.6</v>
      </c>
      <c r="H162" s="20">
        <v>14283.61</v>
      </c>
      <c r="I162" s="20">
        <v>8312.92</v>
      </c>
      <c r="J162" s="20">
        <v>14787</v>
      </c>
      <c r="K162" s="20">
        <v>17467</v>
      </c>
      <c r="L162" s="20">
        <v>14787</v>
      </c>
      <c r="M162" s="20">
        <v>14787</v>
      </c>
      <c r="N162" s="20">
        <v>14787</v>
      </c>
      <c r="O162" s="20">
        <v>14783</v>
      </c>
      <c r="P162" s="36"/>
      <c r="Q162" s="2">
        <f>SUM(OSRRefD21_26_0x)+IFERROR(SUM(OSRRefE21_26_0x),0)</f>
        <v>168744.51</v>
      </c>
    </row>
    <row r="163" spans="1:17" s="29" customFormat="1" x14ac:dyDescent="0.3">
      <c r="A163" s="21"/>
      <c r="B163" s="21"/>
      <c r="C163" s="2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</row>
    <row r="164" spans="1:17" s="9" customFormat="1" x14ac:dyDescent="0.3">
      <c r="A164" s="23"/>
      <c r="B164" s="16" t="s">
        <v>293</v>
      </c>
      <c r="C164" s="22"/>
      <c r="D164" s="3">
        <f>--42597.81</f>
        <v>42597.81</v>
      </c>
      <c r="E164" s="3">
        <f>--159547.55</f>
        <v>159547.54999999999</v>
      </c>
      <c r="F164" s="3">
        <f>--183399.98</f>
        <v>183399.98</v>
      </c>
      <c r="G164" s="3">
        <f>--46304.48</f>
        <v>46304.480000000003</v>
      </c>
      <c r="H164" s="3">
        <f>--61142.06</f>
        <v>61142.06</v>
      </c>
      <c r="I164" s="3">
        <f>--119863.78</f>
        <v>119863.78</v>
      </c>
      <c r="J164" s="3">
        <v>77882.92</v>
      </c>
      <c r="K164" s="3">
        <v>253055.12</v>
      </c>
      <c r="L164" s="3">
        <v>86917.09</v>
      </c>
      <c r="M164" s="3">
        <v>65935.13</v>
      </c>
      <c r="N164" s="3">
        <v>335103.49</v>
      </c>
      <c r="O164" s="3">
        <v>236500</v>
      </c>
      <c r="P164" s="24"/>
      <c r="Q164" s="2">
        <f>SUM(OSRRefD23_0x)+IFERROR(SUM(OSRRefE23_0x),0)</f>
        <v>1668249.41</v>
      </c>
    </row>
    <row r="165" spans="1:17" x14ac:dyDescent="0.3">
      <c r="A165" s="5"/>
      <c r="B165" s="6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</row>
    <row r="166" spans="1:17" s="15" customFormat="1" x14ac:dyDescent="0.3">
      <c r="A166" s="6"/>
      <c r="B166" s="17" t="s">
        <v>276</v>
      </c>
      <c r="C166" s="17"/>
      <c r="D166" s="7">
        <f t="shared" ref="D166:O166" si="4">IFERROR(+D60-D63+D164, 0)</f>
        <v>-563723.07999999984</v>
      </c>
      <c r="E166" s="7">
        <f t="shared" si="4"/>
        <v>249907.76999999949</v>
      </c>
      <c r="F166" s="7">
        <f t="shared" si="4"/>
        <v>599789.20000000019</v>
      </c>
      <c r="G166" s="7">
        <f t="shared" si="4"/>
        <v>233738.16000000018</v>
      </c>
      <c r="H166" s="7">
        <f t="shared" si="4"/>
        <v>346656.13000000006</v>
      </c>
      <c r="I166" s="7">
        <f t="shared" si="4"/>
        <v>201021.22000000018</v>
      </c>
      <c r="J166" s="7">
        <f t="shared" si="4"/>
        <v>10438.19125880122</v>
      </c>
      <c r="K166" s="7">
        <f t="shared" si="4"/>
        <v>502492.8846576208</v>
      </c>
      <c r="L166" s="7">
        <f t="shared" si="4"/>
        <v>290388.52882934839</v>
      </c>
      <c r="M166" s="7">
        <f t="shared" si="4"/>
        <v>138734.2607948092</v>
      </c>
      <c r="N166" s="7">
        <f t="shared" si="4"/>
        <v>235335.470730111</v>
      </c>
      <c r="O166" s="7">
        <f t="shared" si="4"/>
        <v>-308099.76545218984</v>
      </c>
      <c r="Q166" s="7">
        <f>IFERROR(+Q60-Q63+Q164, 0)</f>
        <v>1936678.9708185063</v>
      </c>
    </row>
    <row r="167" spans="1:17" s="6" customFormat="1" x14ac:dyDescent="0.3">
      <c r="B167" s="16"/>
      <c r="C167" s="16"/>
      <c r="D167" s="4">
        <f t="shared" ref="D167:O167" si="5">IFERROR(D166/D10, 0)</f>
        <v>-1.118167205984546</v>
      </c>
      <c r="E167" s="4">
        <f t="shared" si="5"/>
        <v>0.10042372592233172</v>
      </c>
      <c r="F167" s="4">
        <f t="shared" si="5"/>
        <v>0.25527257592491287</v>
      </c>
      <c r="G167" s="4">
        <f t="shared" si="5"/>
        <v>9.2422817719717054E-2</v>
      </c>
      <c r="H167" s="4">
        <f t="shared" si="5"/>
        <v>0.19191350099646276</v>
      </c>
      <c r="I167" s="4">
        <f t="shared" si="5"/>
        <v>0.11838812768516134</v>
      </c>
      <c r="J167" s="4">
        <f t="shared" si="5"/>
        <v>3.6637560704816884E-3</v>
      </c>
      <c r="K167" s="4">
        <f t="shared" si="5"/>
        <v>0.21746857141146711</v>
      </c>
      <c r="L167" s="4">
        <f t="shared" si="5"/>
        <v>0.14074673787130973</v>
      </c>
      <c r="M167" s="4">
        <f t="shared" si="5"/>
        <v>6.4205490502206003E-2</v>
      </c>
      <c r="N167" s="4">
        <f t="shared" si="5"/>
        <v>0.13874112481288453</v>
      </c>
      <c r="O167" s="4">
        <f t="shared" si="5"/>
        <v>-0.58332784043990982</v>
      </c>
      <c r="P167" s="18"/>
      <c r="Q167" s="4">
        <f>IFERROR(Q166/Q10, 0)</f>
        <v>8.426329492792542E-2</v>
      </c>
    </row>
    <row r="168" spans="1:17" x14ac:dyDescent="0.3">
      <c r="A168" s="5"/>
      <c r="B168" s="6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Q168" s="3"/>
    </row>
    <row r="169" spans="1:17" s="15" customFormat="1" x14ac:dyDescent="0.3">
      <c r="A169" s="25"/>
      <c r="B169" s="6" t="s">
        <v>125</v>
      </c>
      <c r="C169" s="6"/>
      <c r="D169" s="3">
        <v>232914.86</v>
      </c>
      <c r="E169" s="3">
        <v>214290.75</v>
      </c>
      <c r="F169" s="3">
        <v>214039.09</v>
      </c>
      <c r="G169" s="3">
        <v>248611.92</v>
      </c>
      <c r="H169" s="3">
        <v>242860.23</v>
      </c>
      <c r="I169" s="3">
        <v>216572.45</v>
      </c>
      <c r="J169" s="3">
        <v>308229</v>
      </c>
      <c r="K169" s="3">
        <v>238186</v>
      </c>
      <c r="L169" s="3">
        <v>243413</v>
      </c>
      <c r="M169" s="3">
        <v>289109</v>
      </c>
      <c r="N169" s="3">
        <v>230226</v>
      </c>
      <c r="O169" s="3">
        <v>-180603</v>
      </c>
      <c r="P169" s="24"/>
      <c r="Q169" s="2">
        <f>SUM(OSRRefD28_0x)+IFERROR(SUM(OSRRefE28_0x),0)</f>
        <v>2497849.2999999998</v>
      </c>
    </row>
    <row r="170" spans="1:17" x14ac:dyDescent="0.3">
      <c r="A170" s="5"/>
      <c r="B170" s="6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Q170" s="3"/>
    </row>
    <row r="171" spans="1:17" s="15" customFormat="1" ht="15" thickBot="1" x14ac:dyDescent="0.35">
      <c r="A171" s="6"/>
      <c r="B171" s="17" t="s">
        <v>124</v>
      </c>
      <c r="C171" s="17"/>
      <c r="D171" s="8">
        <f t="shared" ref="D171:O171" si="6">IFERROR(+D166-D169, 0)</f>
        <v>-796637.93999999983</v>
      </c>
      <c r="E171" s="8">
        <f t="shared" si="6"/>
        <v>35617.019999999495</v>
      </c>
      <c r="F171" s="8">
        <f t="shared" si="6"/>
        <v>385750.11000000022</v>
      </c>
      <c r="G171" s="8">
        <f t="shared" si="6"/>
        <v>-14873.759999999835</v>
      </c>
      <c r="H171" s="8">
        <f t="shared" si="6"/>
        <v>103795.90000000005</v>
      </c>
      <c r="I171" s="8">
        <f t="shared" si="6"/>
        <v>-15551.229999999836</v>
      </c>
      <c r="J171" s="8">
        <f t="shared" si="6"/>
        <v>-297790.80874119879</v>
      </c>
      <c r="K171" s="8">
        <f t="shared" si="6"/>
        <v>264306.8846576208</v>
      </c>
      <c r="L171" s="8">
        <f t="shared" si="6"/>
        <v>46975.52882934839</v>
      </c>
      <c r="M171" s="8">
        <f t="shared" si="6"/>
        <v>-150374.7392051908</v>
      </c>
      <c r="N171" s="8">
        <f t="shared" si="6"/>
        <v>5109.4707301110029</v>
      </c>
      <c r="O171" s="8">
        <f t="shared" si="6"/>
        <v>-127496.76545218984</v>
      </c>
      <c r="Q171" s="8">
        <f>IFERROR(+Q166-Q169, 0)</f>
        <v>-561170.32918149349</v>
      </c>
    </row>
    <row r="172" spans="1:17" s="6" customFormat="1" ht="15" thickTop="1" x14ac:dyDescent="0.3">
      <c r="B172" s="16"/>
      <c r="C172" s="16"/>
      <c r="D172" s="4">
        <f t="shared" ref="D172:O172" si="7">IFERROR(D171/D10, 0)</f>
        <v>-1.5801631175915032</v>
      </c>
      <c r="E172" s="4">
        <f t="shared" si="7"/>
        <v>1.4312455569709431E-2</v>
      </c>
      <c r="F172" s="4">
        <f t="shared" si="7"/>
        <v>0.16417672115973167</v>
      </c>
      <c r="G172" s="4">
        <f t="shared" si="7"/>
        <v>-5.8812596509136648E-3</v>
      </c>
      <c r="H172" s="4">
        <f t="shared" si="7"/>
        <v>5.7462807763066975E-2</v>
      </c>
      <c r="I172" s="4">
        <f t="shared" si="7"/>
        <v>-9.1586400823818036E-3</v>
      </c>
      <c r="J172" s="4">
        <f t="shared" si="7"/>
        <v>-0.10452317419833508</v>
      </c>
      <c r="K172" s="4">
        <f t="shared" si="7"/>
        <v>0.11438657615992272</v>
      </c>
      <c r="L172" s="4">
        <f t="shared" si="7"/>
        <v>2.2768297594826476E-2</v>
      </c>
      <c r="M172" s="4">
        <f t="shared" si="7"/>
        <v>-6.9592643046481162E-2</v>
      </c>
      <c r="N172" s="4">
        <f t="shared" si="7"/>
        <v>3.0122688861769129E-3</v>
      </c>
      <c r="O172" s="4">
        <f t="shared" si="7"/>
        <v>-0.24139068312871056</v>
      </c>
      <c r="P172" s="18"/>
      <c r="Q172" s="4">
        <f>IFERROR(Q171/Q10, 0)</f>
        <v>-2.4416055353064778E-2</v>
      </c>
    </row>
    <row r="173" spans="1:17" x14ac:dyDescent="0.3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Q173" s="3"/>
    </row>
    <row r="174" spans="1:17" s="15" customFormat="1" x14ac:dyDescent="0.3">
      <c r="A174" s="25"/>
      <c r="B174" s="6" t="s">
        <v>182</v>
      </c>
      <c r="C174" s="6"/>
      <c r="D174" s="3">
        <f>--18122.3</f>
        <v>18122.3</v>
      </c>
      <c r="E174" s="3">
        <f>--134736.5</f>
        <v>134736.5</v>
      </c>
      <c r="F174" s="3">
        <f>-372468.37</f>
        <v>-372468.37</v>
      </c>
      <c r="G174" s="3">
        <f>--337591.35</f>
        <v>337591.35</v>
      </c>
      <c r="H174" s="3">
        <f>-342698.96</f>
        <v>-342698.96</v>
      </c>
      <c r="I174" s="3">
        <f>--139580.48</f>
        <v>139580.48000000001</v>
      </c>
      <c r="J174" s="3">
        <f t="shared" ref="J174:K175" si="8">--15000</f>
        <v>15000</v>
      </c>
      <c r="K174" s="3">
        <f t="shared" si="8"/>
        <v>15000</v>
      </c>
      <c r="L174" s="3">
        <f t="shared" ref="L174:O174" si="9">--15000</f>
        <v>15000</v>
      </c>
      <c r="M174" s="3">
        <f t="shared" si="9"/>
        <v>15000</v>
      </c>
      <c r="N174" s="3">
        <f t="shared" si="9"/>
        <v>15000</v>
      </c>
      <c r="O174" s="3">
        <f t="shared" si="9"/>
        <v>15000</v>
      </c>
      <c r="P174" s="24"/>
      <c r="Q174" s="2">
        <f>SUM(OSRRefD33_0x)+IFERROR(SUM(OSRRefE33_0x),0)</f>
        <v>4863.2999999999593</v>
      </c>
    </row>
    <row r="175" spans="1:17" s="15" customFormat="1" x14ac:dyDescent="0.3">
      <c r="A175" s="25"/>
      <c r="B175" s="6" t="s">
        <v>79</v>
      </c>
      <c r="C175" s="6"/>
      <c r="D175" s="3">
        <f>--10182.42</f>
        <v>10182.42</v>
      </c>
      <c r="E175" s="3">
        <f>--12034.07</f>
        <v>12034.07</v>
      </c>
      <c r="F175" s="3">
        <f>--15112.29</f>
        <v>15112.29</v>
      </c>
      <c r="G175" s="3">
        <f>--10527.25</f>
        <v>10527.25</v>
      </c>
      <c r="H175" s="3">
        <f>--9933.84</f>
        <v>9933.84</v>
      </c>
      <c r="I175" s="3">
        <f>--127617.83</f>
        <v>127617.83</v>
      </c>
      <c r="J175" s="3">
        <f t="shared" si="8"/>
        <v>15000</v>
      </c>
      <c r="K175" s="3">
        <f t="shared" si="8"/>
        <v>15000</v>
      </c>
      <c r="L175" s="3">
        <f>--20000</f>
        <v>20000</v>
      </c>
      <c r="M175" s="3">
        <f t="shared" ref="M175:N175" si="10">--15000</f>
        <v>15000</v>
      </c>
      <c r="N175" s="3">
        <f t="shared" si="10"/>
        <v>15000</v>
      </c>
      <c r="O175" s="3">
        <f>--20000</f>
        <v>20000</v>
      </c>
      <c r="P175" s="24"/>
      <c r="Q175" s="2">
        <f>SUM(OSRRefD34_0x)+IFERROR(SUM(OSRRefE34_0x),0)</f>
        <v>285407.7</v>
      </c>
    </row>
    <row r="176" spans="1:17" x14ac:dyDescent="0.3">
      <c r="A176" s="5"/>
      <c r="B176" s="5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Q176" s="3"/>
    </row>
    <row r="177" spans="1:17" s="15" customFormat="1" ht="15" thickBot="1" x14ac:dyDescent="0.35">
      <c r="A177" s="6"/>
      <c r="B177" s="17" t="s">
        <v>294</v>
      </c>
      <c r="C177" s="17"/>
      <c r="D177" s="8">
        <f t="shared" ref="D177:O177" si="11">IFERROR(SUM(D171:D176), 0)</f>
        <v>-768334.80016311735</v>
      </c>
      <c r="E177" s="8">
        <f t="shared" si="11"/>
        <v>182387.60431245508</v>
      </c>
      <c r="F177" s="8">
        <f t="shared" si="11"/>
        <v>28394.194176721408</v>
      </c>
      <c r="G177" s="8">
        <f t="shared" si="11"/>
        <v>333244.83411874052</v>
      </c>
      <c r="H177" s="8">
        <f t="shared" si="11"/>
        <v>-228969.1625371922</v>
      </c>
      <c r="I177" s="8">
        <f t="shared" si="11"/>
        <v>251647.07084136008</v>
      </c>
      <c r="J177" s="8">
        <f t="shared" si="11"/>
        <v>-267790.91326437297</v>
      </c>
      <c r="K177" s="8">
        <f t="shared" si="11"/>
        <v>294306.99904419697</v>
      </c>
      <c r="L177" s="8">
        <f t="shared" si="11"/>
        <v>81975.551597645986</v>
      </c>
      <c r="M177" s="8">
        <f t="shared" si="11"/>
        <v>-120374.80879783383</v>
      </c>
      <c r="N177" s="8">
        <f t="shared" si="11"/>
        <v>35109.473742379887</v>
      </c>
      <c r="O177" s="8">
        <f t="shared" si="11"/>
        <v>-92497.006842872972</v>
      </c>
      <c r="Q177" s="8">
        <f>IFERROR(SUM(Q171:Q176), 0)</f>
        <v>-270899.35359754885</v>
      </c>
    </row>
    <row r="178" spans="1:17" ht="15" thickTop="1" x14ac:dyDescent="0.3">
      <c r="A178" s="5"/>
      <c r="C178" s="5"/>
      <c r="D178" s="4">
        <f t="shared" ref="D178:O178" si="12">IFERROR(D177/D10, 0)</f>
        <v>-1.5240227112203524</v>
      </c>
      <c r="E178" s="4">
        <f t="shared" si="12"/>
        <v>7.3291209741516677E-2</v>
      </c>
      <c r="F178" s="4">
        <f t="shared" si="12"/>
        <v>1.2084677564724129E-2</v>
      </c>
      <c r="G178" s="4">
        <f t="shared" si="12"/>
        <v>0.13176892707546631</v>
      </c>
      <c r="H178" s="4">
        <f t="shared" si="12"/>
        <v>-0.1267604112546363</v>
      </c>
      <c r="I178" s="4">
        <f t="shared" si="12"/>
        <v>0.14820338646021428</v>
      </c>
      <c r="J178" s="4">
        <f t="shared" si="12"/>
        <v>-9.399335189081974E-2</v>
      </c>
      <c r="K178" s="4">
        <f t="shared" si="12"/>
        <v>0.12737000780050123</v>
      </c>
      <c r="L178" s="4">
        <f t="shared" si="12"/>
        <v>3.9732256363853406E-2</v>
      </c>
      <c r="M178" s="4">
        <f t="shared" si="12"/>
        <v>-5.5708832113252282E-2</v>
      </c>
      <c r="N178" s="4">
        <f t="shared" si="12"/>
        <v>2.0698655682859467E-2</v>
      </c>
      <c r="O178" s="4">
        <f t="shared" si="12"/>
        <v>-0.17512534996454396</v>
      </c>
      <c r="P178" s="18"/>
      <c r="Q178" s="4">
        <f>IFERROR(Q177/Q10, 0)</f>
        <v>-1.1786606077685245E-2</v>
      </c>
    </row>
    <row r="179" spans="1:17" x14ac:dyDescent="0.3">
      <c r="A179" s="5"/>
      <c r="B179" s="28">
        <v>44575.850620752317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Q179" s="13"/>
    </row>
    <row r="180" spans="1:17" x14ac:dyDescent="0.3">
      <c r="A180" s="5"/>
      <c r="B180" s="26" t="s">
        <v>54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Q180" s="13"/>
    </row>
    <row r="181" spans="1:17" x14ac:dyDescent="0.3">
      <c r="A181" s="5"/>
      <c r="B181" s="3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Q181" s="13"/>
    </row>
    <row r="182" spans="1:17" x14ac:dyDescent="0.3"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Q18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136</v>
      </c>
    </row>
    <row r="4" spans="1:8" x14ac:dyDescent="0.3">
      <c r="B4" s="30" t="s">
        <v>158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136</v>
      </c>
    </row>
    <row r="4" spans="1:8" x14ac:dyDescent="0.3">
      <c r="B4" s="30" t="s">
        <v>200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219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 t="shared" ref="D19:I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" thickBot="1" x14ac:dyDescent="0.35">
      <c r="A25" s="6"/>
      <c r="B25" s="17" t="s">
        <v>124</v>
      </c>
      <c r="C25" s="17"/>
      <c r="D25" s="8">
        <f>IFERROR(+D21-#REF!, 0)</f>
        <v>0</v>
      </c>
      <c r="E25" s="8">
        <f>IFERROR(+E21-#REF!, 0)</f>
        <v>0</v>
      </c>
      <c r="F25" s="8">
        <f>IFERROR(+F21-#REF!, 0)</f>
        <v>0</v>
      </c>
      <c r="G25" s="8">
        <f>IFERROR(+G21-#REF!, 0)</f>
        <v>0</v>
      </c>
      <c r="H25" s="8">
        <f>IFERROR(+H21-#REF!, 0)</f>
        <v>0</v>
      </c>
      <c r="I25" s="8">
        <f>IFERROR(+I21-#REF!, 0)</f>
        <v>0</v>
      </c>
      <c r="J25" s="8">
        <f>IFERROR(+J21-#REF!, 0)</f>
        <v>0</v>
      </c>
      <c r="K25" s="8">
        <f>IFERROR(+K21-#REF!, 0)</f>
        <v>0</v>
      </c>
      <c r="L25" s="8">
        <f>IFERROR(+L21-#REF!, 0)</f>
        <v>0</v>
      </c>
      <c r="M25" s="8">
        <f>IFERROR(+M21-#REF!, 0)</f>
        <v>0</v>
      </c>
      <c r="N25" s="8">
        <f>IFERROR(+N21-#REF!, 0)</f>
        <v>0</v>
      </c>
      <c r="O25" s="8">
        <f>IFERROR(+O21-#REF!, 0)</f>
        <v>0</v>
      </c>
      <c r="Q25" s="8">
        <f>IFERROR(+Q21-#REF!, 0)</f>
        <v>0</v>
      </c>
    </row>
    <row r="26" spans="1:17" s="6" customFormat="1" ht="15" thickTop="1" x14ac:dyDescent="0.3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3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182</v>
      </c>
      <c r="C28" s="6"/>
      <c r="D28" s="3">
        <f>--18122.3</f>
        <v>18122.3</v>
      </c>
      <c r="E28" s="3">
        <f>--134736.5</f>
        <v>134736.5</v>
      </c>
      <c r="F28" s="3">
        <f>-372468.37</f>
        <v>-372468.37</v>
      </c>
      <c r="G28" s="3">
        <f>--337591.35</f>
        <v>337591.35</v>
      </c>
      <c r="H28" s="3">
        <f>-342698.96</f>
        <v>-342698.96</v>
      </c>
      <c r="I28" s="3">
        <f>--139580.48</f>
        <v>139580.48000000001</v>
      </c>
      <c r="J28" s="3">
        <f t="shared" ref="J28:K29" si="9">--15000</f>
        <v>15000</v>
      </c>
      <c r="K28" s="3">
        <f t="shared" si="9"/>
        <v>15000</v>
      </c>
      <c r="L28" s="3">
        <f t="shared" ref="L28:O28" si="10">--15000</f>
        <v>15000</v>
      </c>
      <c r="M28" s="3">
        <f t="shared" si="10"/>
        <v>15000</v>
      </c>
      <c r="N28" s="3">
        <f t="shared" si="10"/>
        <v>15000</v>
      </c>
      <c r="O28" s="3">
        <f t="shared" si="10"/>
        <v>15000</v>
      </c>
      <c r="Q28" s="2">
        <f>SUM(OSRRefD33_0x)+IFERROR(SUM(OSRRefE33_0x),0)</f>
        <v>4863.2999999999593</v>
      </c>
    </row>
    <row r="29" spans="1:17" s="15" customFormat="1" x14ac:dyDescent="0.3">
      <c r="A29" s="25"/>
      <c r="B29" s="6" t="s">
        <v>79</v>
      </c>
      <c r="C29" s="6"/>
      <c r="D29" s="3">
        <f>--10182.42</f>
        <v>10182.42</v>
      </c>
      <c r="E29" s="3">
        <f>--12034.07</f>
        <v>12034.07</v>
      </c>
      <c r="F29" s="3">
        <f>--15112.29</f>
        <v>15112.29</v>
      </c>
      <c r="G29" s="3">
        <f>--10527.25</f>
        <v>10527.25</v>
      </c>
      <c r="H29" s="3">
        <f>--9933.84</f>
        <v>9933.84</v>
      </c>
      <c r="I29" s="3">
        <f>--127617.83</f>
        <v>127617.83</v>
      </c>
      <c r="J29" s="3">
        <f t="shared" si="9"/>
        <v>15000</v>
      </c>
      <c r="K29" s="3">
        <f t="shared" si="9"/>
        <v>15000</v>
      </c>
      <c r="L29" s="3">
        <f>--20000</f>
        <v>20000</v>
      </c>
      <c r="M29" s="3">
        <f t="shared" ref="M29:N29" si="11">--15000</f>
        <v>15000</v>
      </c>
      <c r="N29" s="3">
        <f t="shared" si="11"/>
        <v>15000</v>
      </c>
      <c r="O29" s="3">
        <f>--20000</f>
        <v>20000</v>
      </c>
      <c r="Q29" s="2">
        <f>SUM(OSRRefD34_0x)+IFERROR(SUM(OSRRefE34_0x),0)</f>
        <v>285407.7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35">
      <c r="A31" s="6"/>
      <c r="B31" s="17" t="s">
        <v>294</v>
      </c>
      <c r="C31" s="17"/>
      <c r="D31" s="8">
        <f t="shared" ref="D31:O31" si="12">IFERROR(SUM(D25:D30), 0)</f>
        <v>28304.720000000001</v>
      </c>
      <c r="E31" s="8">
        <f t="shared" si="12"/>
        <v>146770.57</v>
      </c>
      <c r="F31" s="8">
        <f t="shared" si="12"/>
        <v>-357356.08</v>
      </c>
      <c r="G31" s="8">
        <f t="shared" si="12"/>
        <v>348118.6</v>
      </c>
      <c r="H31" s="8">
        <f t="shared" si="12"/>
        <v>-332765.12</v>
      </c>
      <c r="I31" s="8">
        <f t="shared" si="12"/>
        <v>267198.31</v>
      </c>
      <c r="J31" s="8">
        <f t="shared" si="12"/>
        <v>30000</v>
      </c>
      <c r="K31" s="8">
        <f t="shared" si="12"/>
        <v>30000</v>
      </c>
      <c r="L31" s="8">
        <f t="shared" si="12"/>
        <v>35000</v>
      </c>
      <c r="M31" s="8">
        <f t="shared" si="12"/>
        <v>30000</v>
      </c>
      <c r="N31" s="8">
        <f t="shared" si="12"/>
        <v>30000</v>
      </c>
      <c r="O31" s="8">
        <f t="shared" si="12"/>
        <v>35000</v>
      </c>
      <c r="Q31" s="8">
        <f>IFERROR(SUM(Q25:Q30), 0)</f>
        <v>290271</v>
      </c>
    </row>
    <row r="32" spans="1:17" ht="15" thickTop="1" x14ac:dyDescent="0.3">
      <c r="A32" s="5"/>
      <c r="C32" s="5"/>
      <c r="D32" s="4">
        <f t="shared" ref="D32:O32" si="13">IFERROR(D31/D10, 0)</f>
        <v>0</v>
      </c>
      <c r="E32" s="4">
        <f t="shared" si="13"/>
        <v>0</v>
      </c>
      <c r="F32" s="4">
        <f t="shared" si="13"/>
        <v>0</v>
      </c>
      <c r="G32" s="4">
        <f t="shared" si="13"/>
        <v>0</v>
      </c>
      <c r="H32" s="4">
        <f t="shared" si="13"/>
        <v>0</v>
      </c>
      <c r="I32" s="4">
        <f t="shared" si="13"/>
        <v>0</v>
      </c>
      <c r="J32" s="4">
        <f t="shared" si="13"/>
        <v>0</v>
      </c>
      <c r="K32" s="4">
        <f t="shared" si="13"/>
        <v>0</v>
      </c>
      <c r="L32" s="4">
        <f t="shared" si="13"/>
        <v>0</v>
      </c>
      <c r="M32" s="4">
        <f t="shared" si="13"/>
        <v>0</v>
      </c>
      <c r="N32" s="4">
        <f t="shared" si="13"/>
        <v>0</v>
      </c>
      <c r="O32" s="4">
        <f t="shared" si="13"/>
        <v>0</v>
      </c>
      <c r="P32" s="18"/>
      <c r="Q32" s="4">
        <f>IFERROR(Q31/Q10, 0)</f>
        <v>0</v>
      </c>
    </row>
    <row r="33" spans="1:17" x14ac:dyDescent="0.3">
      <c r="A33" s="5"/>
      <c r="B33" s="28">
        <v>44575.850663773148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3">
      <c r="A34" s="5"/>
      <c r="B34" s="26" t="s">
        <v>54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3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","100", " - ", "Corporate")</f>
        <v>Department 100 - Corporate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 t="shared" ref="D19:I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8">
        <f t="shared" ref="D26:O26" si="8">IFERROR(+D21-D24, 0)</f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0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25"/>
      <c r="B29" s="6" t="s">
        <v>182</v>
      </c>
      <c r="C29" s="6"/>
      <c r="D29" s="3">
        <f>--18122.3</f>
        <v>18122.3</v>
      </c>
      <c r="E29" s="3">
        <f>--134736.5</f>
        <v>134736.5</v>
      </c>
      <c r="F29" s="3">
        <f>-372468.37</f>
        <v>-372468.37</v>
      </c>
      <c r="G29" s="3">
        <f>--337591.35</f>
        <v>337591.35</v>
      </c>
      <c r="H29" s="3">
        <f>-342698.96</f>
        <v>-342698.96</v>
      </c>
      <c r="I29" s="3">
        <f>--139580.48</f>
        <v>139580.48000000001</v>
      </c>
      <c r="J29" s="3">
        <f t="shared" ref="J29:K30" si="10">--15000</f>
        <v>15000</v>
      </c>
      <c r="K29" s="3">
        <f t="shared" si="10"/>
        <v>15000</v>
      </c>
      <c r="L29" s="3">
        <f t="shared" ref="L29:O29" si="11">--15000</f>
        <v>15000</v>
      </c>
      <c r="M29" s="3">
        <f t="shared" si="11"/>
        <v>15000</v>
      </c>
      <c r="N29" s="3">
        <f t="shared" si="11"/>
        <v>15000</v>
      </c>
      <c r="O29" s="3">
        <f t="shared" si="11"/>
        <v>15000</v>
      </c>
      <c r="Q29" s="2">
        <f>SUM(OSRRefD33_0x)+IFERROR(SUM(OSRRefE33_0x),0)</f>
        <v>4863.2999999999593</v>
      </c>
    </row>
    <row r="30" spans="1:17" s="15" customFormat="1" x14ac:dyDescent="0.3">
      <c r="A30" s="25"/>
      <c r="B30" s="6" t="s">
        <v>79</v>
      </c>
      <c r="C30" s="6"/>
      <c r="D30" s="3">
        <f>--10182.42</f>
        <v>10182.42</v>
      </c>
      <c r="E30" s="3">
        <f>--12034.07</f>
        <v>12034.07</v>
      </c>
      <c r="F30" s="3">
        <f>--15112.29</f>
        <v>15112.29</v>
      </c>
      <c r="G30" s="3">
        <f>--10527.25</f>
        <v>10527.25</v>
      </c>
      <c r="H30" s="3">
        <f>--9933.84</f>
        <v>9933.84</v>
      </c>
      <c r="I30" s="3">
        <f>--127617.83</f>
        <v>127617.83</v>
      </c>
      <c r="J30" s="3">
        <f t="shared" si="10"/>
        <v>15000</v>
      </c>
      <c r="K30" s="3">
        <f t="shared" si="10"/>
        <v>15000</v>
      </c>
      <c r="L30" s="3">
        <f>--20000</f>
        <v>20000</v>
      </c>
      <c r="M30" s="3">
        <f t="shared" ref="M30:N30" si="12">--15000</f>
        <v>15000</v>
      </c>
      <c r="N30" s="3">
        <f t="shared" si="12"/>
        <v>15000</v>
      </c>
      <c r="O30" s="3">
        <f>--20000</f>
        <v>20000</v>
      </c>
      <c r="Q30" s="2">
        <f>SUM(OSRRefD34_0x)+IFERROR(SUM(OSRRefE34_0x),0)</f>
        <v>285407.7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13">IFERROR(SUM(D26:D31), 0)</f>
        <v>28304.720000000001</v>
      </c>
      <c r="E32" s="8">
        <f t="shared" si="13"/>
        <v>146770.57</v>
      </c>
      <c r="F32" s="8">
        <f t="shared" si="13"/>
        <v>-357356.08</v>
      </c>
      <c r="G32" s="8">
        <f t="shared" si="13"/>
        <v>348118.6</v>
      </c>
      <c r="H32" s="8">
        <f t="shared" si="13"/>
        <v>-332765.12</v>
      </c>
      <c r="I32" s="8">
        <f t="shared" si="13"/>
        <v>267198.31</v>
      </c>
      <c r="J32" s="8">
        <f t="shared" si="13"/>
        <v>30000</v>
      </c>
      <c r="K32" s="8">
        <f t="shared" si="13"/>
        <v>30000</v>
      </c>
      <c r="L32" s="8">
        <f t="shared" si="13"/>
        <v>35000</v>
      </c>
      <c r="M32" s="8">
        <f t="shared" si="13"/>
        <v>30000</v>
      </c>
      <c r="N32" s="8">
        <f t="shared" si="13"/>
        <v>30000</v>
      </c>
      <c r="O32" s="8">
        <f t="shared" si="13"/>
        <v>35000</v>
      </c>
      <c r="Q32" s="8">
        <f>IFERROR(SUM(Q26:Q31), 0)</f>
        <v>290271</v>
      </c>
    </row>
    <row r="33" spans="1:17" ht="15" thickTop="1" x14ac:dyDescent="0.3">
      <c r="A33" s="5"/>
      <c r="C33" s="5"/>
      <c r="D33" s="4">
        <f t="shared" ref="D33:O33" si="14">IFERROR(D32/D10, 0)</f>
        <v>0</v>
      </c>
      <c r="E33" s="4">
        <f t="shared" si="14"/>
        <v>0</v>
      </c>
      <c r="F33" s="4">
        <f t="shared" si="14"/>
        <v>0</v>
      </c>
      <c r="G33" s="4">
        <f t="shared" si="14"/>
        <v>0</v>
      </c>
      <c r="H33" s="4">
        <f t="shared" si="14"/>
        <v>0</v>
      </c>
      <c r="I33" s="4">
        <f t="shared" si="14"/>
        <v>0</v>
      </c>
      <c r="J33" s="4">
        <f t="shared" si="14"/>
        <v>0</v>
      </c>
      <c r="K33" s="4">
        <f t="shared" si="14"/>
        <v>0</v>
      </c>
      <c r="L33" s="4">
        <f t="shared" si="14"/>
        <v>0</v>
      </c>
      <c r="M33" s="4">
        <f t="shared" si="14"/>
        <v>0</v>
      </c>
      <c r="N33" s="4">
        <f t="shared" si="14"/>
        <v>0</v>
      </c>
      <c r="O33" s="4">
        <f t="shared" si="14"/>
        <v>0</v>
      </c>
      <c r="P33" s="18"/>
      <c r="Q33" s="4">
        <f>IFERROR(Q32/Q10, 0)</f>
        <v>0</v>
      </c>
    </row>
    <row r="34" spans="1:17" x14ac:dyDescent="0.3">
      <c r="A34" s="5"/>
      <c r="B34" s="28">
        <v>44575.850692245367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26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3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137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232914.85999999996</v>
      </c>
      <c r="E17" s="12">
        <f>SUM(OSRRefD20x_1)</f>
        <v>214290.75</v>
      </c>
      <c r="F17" s="12">
        <f>SUM(OSRRefD20x_2)</f>
        <v>214039.08999999997</v>
      </c>
      <c r="G17" s="12">
        <f>SUM(OSRRefD20x_3)</f>
        <v>248611.91999999995</v>
      </c>
      <c r="H17" s="12">
        <f>SUM(OSRRefD20x_4)</f>
        <v>242860.23000000004</v>
      </c>
      <c r="I17" s="12">
        <f>SUM(OSRRefD20x_5)</f>
        <v>216572.44999999998</v>
      </c>
      <c r="J17" s="12">
        <f>SUM(OSRRefE20x_0)</f>
        <v>308227.51587287692</v>
      </c>
      <c r="K17" s="12">
        <f>SUM(OSRRefE20x_1)</f>
        <v>238186.01269830164</v>
      </c>
      <c r="L17" s="12">
        <f>SUM(OSRRefE20x_2)</f>
        <v>243411.46615984</v>
      </c>
      <c r="M17" s="12">
        <f>SUM(OSRRefE20x_3)</f>
        <v>289108.58269979997</v>
      </c>
      <c r="N17" s="12">
        <f>SUM(OSRRefE20x_4)</f>
        <v>230228.17971184</v>
      </c>
      <c r="O17" s="12">
        <f>SUM(OSRRefE20x_5)</f>
        <v>-215603.10673616</v>
      </c>
      <c r="Q17" s="12">
        <f>SUM(OSRRefG20x)</f>
        <v>2462847.9504064987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SUM(OSRRefD21_0x_1)</f>
        <v>79002.249999999985</v>
      </c>
      <c r="F18" s="1">
        <f>SUM(OSRRefD21_0x_2)</f>
        <v>79571.759999999995</v>
      </c>
      <c r="G18" s="1">
        <f>SUM(OSRRefD21_0x_3)</f>
        <v>92044.4</v>
      </c>
      <c r="H18" s="1">
        <f>SUM(OSRRefD21_0x_4)</f>
        <v>79537.320000000007</v>
      </c>
      <c r="I18" s="1">
        <f>SUM(OSRRefD21_0x_5)</f>
        <v>83904.01</v>
      </c>
      <c r="J18" s="1">
        <f>SUM(OSRRefE21_0x_0)</f>
        <v>92307.104826723109</v>
      </c>
      <c r="K18" s="1">
        <f>SUM(OSRRefE21_0x_1)</f>
        <v>84866.283861378528</v>
      </c>
      <c r="L18" s="1">
        <f>SUM(OSRRefE21_0x_2)</f>
        <v>82488.814245993897</v>
      </c>
      <c r="M18" s="1">
        <f>SUM(OSRRefE21_0x_3)</f>
        <v>89458.017807492361</v>
      </c>
      <c r="N18" s="1">
        <f>SUM(OSRRefE21_0x_4)</f>
        <v>82580.527797993898</v>
      </c>
      <c r="O18" s="1">
        <f>SUM(OSRRefE21_0x_5)</f>
        <v>-352331.75865000609</v>
      </c>
      <c r="Q18" s="2">
        <f>SUM(OSRRefD20_0x)+IFERROR(SUM(OSRRefE20_0x),0)</f>
        <v>571630.14988957567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7400.56</v>
      </c>
      <c r="F19" s="2">
        <v>7256.42</v>
      </c>
      <c r="G19" s="2">
        <v>10280.790000000001</v>
      </c>
      <c r="H19" s="2">
        <v>6697.1</v>
      </c>
      <c r="I19" s="2">
        <v>6803.77</v>
      </c>
      <c r="J19" s="2">
        <v>9631.6441785692405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93991.621442252304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1432.38</v>
      </c>
      <c r="F20" s="2">
        <v>1428.76</v>
      </c>
      <c r="G20" s="2">
        <v>2173.87</v>
      </c>
      <c r="H20" s="2">
        <v>1492.82</v>
      </c>
      <c r="I20" s="2">
        <v>1492.1</v>
      </c>
      <c r="J20" s="2">
        <v>784.63477138461599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13434.709465046153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22410.55</v>
      </c>
      <c r="F21" s="2">
        <v>22743.99</v>
      </c>
      <c r="G21" s="2">
        <v>22410.55</v>
      </c>
      <c r="H21" s="2">
        <v>22410.55</v>
      </c>
      <c r="I21" s="2">
        <v>22410.55</v>
      </c>
      <c r="J21" s="2">
        <v>25172.9230769231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276920.74000000022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250.67</v>
      </c>
      <c r="F22" s="2">
        <v>251.96</v>
      </c>
      <c r="G22" s="2">
        <v>383.7</v>
      </c>
      <c r="H22" s="2">
        <v>263.44</v>
      </c>
      <c r="I22" s="2">
        <v>263.31</v>
      </c>
      <c r="J22" s="2">
        <v>293.056030615385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3127.6827053538468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7497.95</v>
      </c>
      <c r="F23" s="2">
        <v>7497.95</v>
      </c>
      <c r="G23" s="2">
        <v>11246.93</v>
      </c>
      <c r="H23" s="2">
        <v>7738.29</v>
      </c>
      <c r="I23" s="2">
        <v>7738.29</v>
      </c>
      <c r="J23" s="2">
        <v>8157.9368461538497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89150.420061538491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2636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5134</v>
      </c>
    </row>
    <row r="25" spans="1:17" s="35" customFormat="1" hidden="1" outlineLevel="1" x14ac:dyDescent="0.3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>
        <v>644.66999999999996</v>
      </c>
      <c r="I25" s="2">
        <v>654.36</v>
      </c>
      <c r="J25" s="2"/>
      <c r="K25" s="2"/>
      <c r="L25" s="2"/>
      <c r="M25" s="2"/>
      <c r="N25" s="2"/>
      <c r="O25" s="2"/>
      <c r="P25" s="9"/>
      <c r="Q25" s="2">
        <f>SUM(OSRRefD21_0_6x)+IFERROR(SUM(OSRRefE21_0_6x),0)</f>
        <v>3781.36</v>
      </c>
    </row>
    <row r="26" spans="1:17" s="35" customFormat="1" hidden="1" outlineLevel="1" x14ac:dyDescent="0.3">
      <c r="A26" s="34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6468.2</v>
      </c>
      <c r="F26" s="2">
        <v>6193.49</v>
      </c>
      <c r="G26" s="2">
        <v>9086.93</v>
      </c>
      <c r="H26" s="2">
        <v>6911.02</v>
      </c>
      <c r="I26" s="2">
        <v>7317.15</v>
      </c>
      <c r="J26" s="2">
        <v>5631.7643384615403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70181.539944615419</v>
      </c>
    </row>
    <row r="27" spans="1:17" s="35" customFormat="1" hidden="1" outlineLevel="1" x14ac:dyDescent="0.3">
      <c r="A27" s="34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4256.4799999999996</v>
      </c>
      <c r="F27" s="2">
        <v>4256.4799999999996</v>
      </c>
      <c r="G27" s="2">
        <v>6384.72</v>
      </c>
      <c r="H27" s="2">
        <v>4401.4799999999996</v>
      </c>
      <c r="I27" s="2">
        <v>4523.7</v>
      </c>
      <c r="J27" s="2">
        <v>4768.1455846153904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52005.716270769277</v>
      </c>
    </row>
    <row r="28" spans="1:17" s="35" customFormat="1" hidden="1" outlineLevel="1" x14ac:dyDescent="0.3">
      <c r="A28" s="34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26975.06</v>
      </c>
      <c r="F28" s="2">
        <v>28310.06</v>
      </c>
      <c r="G28" s="2">
        <v>27236.080000000002</v>
      </c>
      <c r="H28" s="2">
        <v>27384.04</v>
      </c>
      <c r="I28" s="2">
        <v>28675.06</v>
      </c>
      <c r="J28" s="2">
        <v>35000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-59283.639999999985</v>
      </c>
    </row>
    <row r="29" spans="1:17" s="35" customFormat="1" hidden="1" outlineLevel="1" x14ac:dyDescent="0.3">
      <c r="A29" s="34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1371.2</v>
      </c>
      <c r="F29" s="2">
        <v>1324.9</v>
      </c>
      <c r="G29" s="2">
        <v>2208.9299999999998</v>
      </c>
      <c r="H29" s="2">
        <v>1593.91</v>
      </c>
      <c r="I29" s="2">
        <v>1389.72</v>
      </c>
      <c r="J29" s="2">
        <v>2450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23186</v>
      </c>
    </row>
    <row r="30" spans="1:17" s="35" customFormat="1" collapsed="1" x14ac:dyDescent="0.3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SUM(OSRRefD21_1x_1)</f>
        <v>88432.98</v>
      </c>
      <c r="F30" s="1">
        <f>SUM(OSRRefD21_1x_2)</f>
        <v>88046.800000000017</v>
      </c>
      <c r="G30" s="1">
        <f>SUM(OSRRefD21_1x_3)</f>
        <v>86103.92</v>
      </c>
      <c r="H30" s="1">
        <f>SUM(OSRRefD21_1x_4)</f>
        <v>90428.12</v>
      </c>
      <c r="I30" s="1">
        <f>SUM(OSRRefD21_1x_5)</f>
        <v>96856.360000000015</v>
      </c>
      <c r="J30" s="1">
        <f>SUM(OSRRefE21_1x_0)</f>
        <v>127753.41104615379</v>
      </c>
      <c r="K30" s="1">
        <f>SUM(OSRRefE21_1x_1)</f>
        <v>102202.7288369231</v>
      </c>
      <c r="L30" s="1">
        <f>SUM(OSRRefE21_1x_2)</f>
        <v>95939.651913846101</v>
      </c>
      <c r="M30" s="1">
        <f>SUM(OSRRefE21_1x_3)</f>
        <v>119924.56489230761</v>
      </c>
      <c r="N30" s="1">
        <f>SUM(OSRRefE21_1x_4)</f>
        <v>95939.651913846086</v>
      </c>
      <c r="O30" s="1">
        <f>SUM(OSRRefE21_1x_5)</f>
        <v>95939.651913846101</v>
      </c>
      <c r="Q30" s="2">
        <f>SUM(OSRRefD20_1x)+IFERROR(SUM(OSRRefE20_1x),0)</f>
        <v>1202222.5305169229</v>
      </c>
    </row>
    <row r="31" spans="1:17" s="35" customFormat="1" hidden="1" outlineLevel="1" x14ac:dyDescent="0.3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21415.54</v>
      </c>
      <c r="F31" s="2">
        <v>20961.580000000002</v>
      </c>
      <c r="G31" s="2">
        <v>-902.6</v>
      </c>
      <c r="H31" s="2">
        <v>20464.53</v>
      </c>
      <c r="I31" s="2">
        <v>24698.68</v>
      </c>
      <c r="J31" s="2">
        <v>42695.246153846201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311997.27307692321</v>
      </c>
    </row>
    <row r="32" spans="1:17" s="35" customFormat="1" hidden="1" outlineLevel="1" x14ac:dyDescent="0.3">
      <c r="A32" s="34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46219.02</v>
      </c>
      <c r="F32" s="2">
        <v>44941.71</v>
      </c>
      <c r="G32" s="2">
        <v>58316.31</v>
      </c>
      <c r="H32" s="2">
        <v>45658.44</v>
      </c>
      <c r="I32" s="2">
        <v>47735.14</v>
      </c>
      <c r="J32" s="2">
        <v>43959.607692307603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528779.71999999962</v>
      </c>
    </row>
    <row r="33" spans="1:17" s="35" customFormat="1" hidden="1" outlineLevel="1" x14ac:dyDescent="0.3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">
      <c r="A34" s="34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18220.169999999998</v>
      </c>
      <c r="F34" s="2">
        <v>18216.78</v>
      </c>
      <c r="G34" s="2">
        <v>27366.63</v>
      </c>
      <c r="H34" s="2">
        <v>19753.900000000001</v>
      </c>
      <c r="I34" s="2">
        <v>19331.689999999999</v>
      </c>
      <c r="J34" s="2">
        <v>30052.557199999999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277243.35743999999</v>
      </c>
    </row>
    <row r="35" spans="1:17" s="35" customFormat="1" hidden="1" outlineLevel="1" x14ac:dyDescent="0.3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974.25</v>
      </c>
      <c r="F35" s="2">
        <v>1613.25</v>
      </c>
      <c r="G35" s="2">
        <v>3267.25</v>
      </c>
      <c r="H35" s="2">
        <v>2025.39</v>
      </c>
      <c r="I35" s="2">
        <v>2315.02</v>
      </c>
      <c r="J35" s="2">
        <v>4850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37442.160000000003</v>
      </c>
    </row>
    <row r="36" spans="1:17" s="35" customFormat="1" hidden="1" outlineLevel="1" x14ac:dyDescent="0.3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">
      <c r="A37" s="34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-1727</v>
      </c>
      <c r="F37" s="2">
        <v>1440.96</v>
      </c>
      <c r="G37" s="2">
        <v>-3177.08</v>
      </c>
      <c r="H37" s="2">
        <v>468.48</v>
      </c>
      <c r="I37" s="2">
        <v>566.26</v>
      </c>
      <c r="J37" s="2">
        <v>0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6660.82</v>
      </c>
    </row>
    <row r="38" spans="1:17" s="35" customFormat="1" hidden="1" outlineLevel="1" x14ac:dyDescent="0.3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3331</v>
      </c>
      <c r="F38" s="2">
        <v>872.52</v>
      </c>
      <c r="G38" s="2">
        <v>1233.4100000000001</v>
      </c>
      <c r="H38" s="2">
        <v>2057.38</v>
      </c>
      <c r="I38" s="2">
        <v>2209.5700000000002</v>
      </c>
      <c r="J38" s="2">
        <v>6196</v>
      </c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40099.199999999997</v>
      </c>
    </row>
    <row r="39" spans="1:17" s="35" customFormat="1" hidden="1" outlineLevel="1" x14ac:dyDescent="0.3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SUM(OSRRefD21_2x_1)</f>
        <v>302.39</v>
      </c>
      <c r="F41" s="1">
        <f>SUM(OSRRefD21_2x_2)</f>
        <v>110.84</v>
      </c>
      <c r="G41" s="1">
        <f>SUM(OSRRefD21_2x_3)</f>
        <v>434.18</v>
      </c>
      <c r="H41" s="1">
        <f>SUM(OSRRefD21_2x_4)</f>
        <v>601.91999999999996</v>
      </c>
      <c r="I41" s="1">
        <f>SUM(OSRRefD21_2x_5)</f>
        <v>1780.99</v>
      </c>
      <c r="J41" s="1">
        <f>SUM(OSRRefE21_2x_0)</f>
        <v>817</v>
      </c>
      <c r="K41" s="1">
        <f>SUM(OSRRefE21_2x_1)</f>
        <v>817</v>
      </c>
      <c r="L41" s="1">
        <f>SUM(OSRRefE21_2x_2)</f>
        <v>817</v>
      </c>
      <c r="M41" s="1">
        <f>SUM(OSRRefE21_2x_3)</f>
        <v>817</v>
      </c>
      <c r="N41" s="1">
        <f>SUM(OSRRefE21_2x_4)</f>
        <v>817</v>
      </c>
      <c r="O41" s="1">
        <f>SUM(OSRRefE21_2x_5)</f>
        <v>813</v>
      </c>
      <c r="Q41" s="2">
        <f>SUM(OSRRefD20_2x)+IFERROR(SUM(OSRRefE20_2x),0)</f>
        <v>8301.5299999999988</v>
      </c>
    </row>
    <row r="42" spans="1:17" s="35" customFormat="1" hidden="1" outlineLevel="1" x14ac:dyDescent="0.3">
      <c r="A42" s="34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302.39</v>
      </c>
      <c r="F42" s="2">
        <v>110.84</v>
      </c>
      <c r="G42" s="2">
        <v>434.18</v>
      </c>
      <c r="H42" s="2">
        <v>601.91999999999996</v>
      </c>
      <c r="I42" s="2">
        <v>1780.99</v>
      </c>
      <c r="J42" s="2">
        <v>817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8301.5299999999988</v>
      </c>
    </row>
    <row r="43" spans="1:17" s="35" customFormat="1" collapsed="1" x14ac:dyDescent="0.3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SUM(OSRRefD21_3x_1)</f>
        <v>7</v>
      </c>
      <c r="F43" s="1">
        <f>SUM(OSRRefD21_3x_2)</f>
        <v>7</v>
      </c>
      <c r="G43" s="1">
        <f>SUM(OSRRefD21_3x_3)</f>
        <v>3111.94</v>
      </c>
      <c r="H43" s="1">
        <f>SUM(OSRRefD21_3x_4)</f>
        <v>3.42</v>
      </c>
      <c r="I43" s="1">
        <f>SUM(OSRRefD21_3x_5)</f>
        <v>119.71</v>
      </c>
      <c r="J43" s="1">
        <f>SUM(OSRRefE21_3x_0)</f>
        <v>10000</v>
      </c>
      <c r="K43" s="1">
        <f>SUM(OSRRefE21_3x_1)</f>
        <v>1000</v>
      </c>
      <c r="L43" s="1">
        <f>SUM(OSRRefE21_3x_2)</f>
        <v>2000</v>
      </c>
      <c r="M43" s="1">
        <f>SUM(OSRRefE21_3x_3)</f>
        <v>10000</v>
      </c>
      <c r="N43" s="1">
        <f>SUM(OSRRefE21_3x_4)</f>
        <v>1000</v>
      </c>
      <c r="O43" s="1">
        <f>SUM(OSRRefE21_3x_5)</f>
        <v>2000</v>
      </c>
      <c r="Q43" s="2">
        <f>SUM(OSRRefD20_3x)+IFERROR(SUM(OSRRefE20_3x),0)</f>
        <v>31598.93</v>
      </c>
    </row>
    <row r="44" spans="1:17" s="35" customFormat="1" hidden="1" outlineLevel="1" x14ac:dyDescent="0.3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7</v>
      </c>
      <c r="F44" s="2">
        <v>7</v>
      </c>
      <c r="G44" s="2">
        <v>3111.94</v>
      </c>
      <c r="H44" s="2">
        <v>3.42</v>
      </c>
      <c r="I44" s="2">
        <v>119.71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31598.93</v>
      </c>
    </row>
    <row r="45" spans="1:17" s="35" customFormat="1" collapsed="1" x14ac:dyDescent="0.3">
      <c r="A45" s="34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SUM(OSRRefD21_4x_1)</f>
        <v>1061.02</v>
      </c>
      <c r="F45" s="1">
        <f>SUM(OSRRefD21_4x_2)</f>
        <v>1425.15</v>
      </c>
      <c r="G45" s="1">
        <f>SUM(OSRRefD21_4x_3)</f>
        <v>1435.83</v>
      </c>
      <c r="H45" s="1">
        <f>SUM(OSRRefD21_4x_4)</f>
        <v>1560.09</v>
      </c>
      <c r="I45" s="1">
        <f>SUM(OSRRefD21_4x_5)</f>
        <v>1336.68</v>
      </c>
      <c r="J45" s="1">
        <f>SUM(OSRRefE21_4x_0)</f>
        <v>2508</v>
      </c>
      <c r="K45" s="1">
        <f>SUM(OSRRefE21_4x_1)</f>
        <v>1508</v>
      </c>
      <c r="L45" s="1">
        <f>SUM(OSRRefE21_4x_2)</f>
        <v>1508</v>
      </c>
      <c r="M45" s="1">
        <f>SUM(OSRRefE21_4x_3)</f>
        <v>2508</v>
      </c>
      <c r="N45" s="1">
        <f>SUM(OSRRefE21_4x_4)</f>
        <v>1008</v>
      </c>
      <c r="O45" s="1">
        <f>SUM(OSRRefE21_4x_5)</f>
        <v>2508</v>
      </c>
      <c r="Q45" s="2">
        <f>SUM(OSRRefD20_4x)+IFERROR(SUM(OSRRefE20_4x),0)</f>
        <v>19204.510000000002</v>
      </c>
    </row>
    <row r="46" spans="1:17" s="35" customFormat="1" hidden="1" outlineLevel="1" x14ac:dyDescent="0.3">
      <c r="A46" s="34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1061.02</v>
      </c>
      <c r="F46" s="2">
        <v>1425.15</v>
      </c>
      <c r="G46" s="2">
        <v>1435.83</v>
      </c>
      <c r="H46" s="2">
        <v>1560.09</v>
      </c>
      <c r="I46" s="2">
        <v>1336.68</v>
      </c>
      <c r="J46" s="2">
        <v>2508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19204.510000000002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SUM(OSRRefD21_5x_1)</f>
        <v>6972.12</v>
      </c>
      <c r="F47" s="1">
        <f>SUM(OSRRefD21_5x_2)</f>
        <v>6972.11</v>
      </c>
      <c r="G47" s="1">
        <f>SUM(OSRRefD21_5x_3)</f>
        <v>4014.65</v>
      </c>
      <c r="H47" s="1">
        <f>SUM(OSRRefD21_5x_4)</f>
        <v>4014.64</v>
      </c>
      <c r="I47" s="1">
        <f>SUM(OSRRefD21_5x_5)</f>
        <v>4014.64</v>
      </c>
      <c r="J47" s="1">
        <f>SUM(OSRRefE21_5x_0)</f>
        <v>3973</v>
      </c>
      <c r="K47" s="1">
        <f>SUM(OSRRefE21_5x_1)</f>
        <v>3973</v>
      </c>
      <c r="L47" s="1">
        <f>SUM(OSRRefE21_5x_2)</f>
        <v>2414</v>
      </c>
      <c r="M47" s="1">
        <f>SUM(OSRRefE21_5x_3)</f>
        <v>2414</v>
      </c>
      <c r="N47" s="1">
        <f>SUM(OSRRefE21_5x_4)</f>
        <v>2414</v>
      </c>
      <c r="O47" s="1">
        <f>SUM(OSRRefE21_5x_5)</f>
        <v>1960</v>
      </c>
      <c r="Q47" s="2">
        <f>SUM(OSRRefD20_5x)+IFERROR(SUM(OSRRefE20_5x),0)</f>
        <v>50108.28</v>
      </c>
    </row>
    <row r="48" spans="1:17" s="35" customFormat="1" hidden="1" outlineLevel="1" x14ac:dyDescent="0.3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6972.12</v>
      </c>
      <c r="F48" s="2">
        <v>6972.11</v>
      </c>
      <c r="G48" s="2">
        <v>4014.65</v>
      </c>
      <c r="H48" s="2">
        <v>4014.64</v>
      </c>
      <c r="I48" s="2">
        <v>4014.64</v>
      </c>
      <c r="J48" s="2">
        <v>3473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47108.28</v>
      </c>
    </row>
    <row r="49" spans="1:17" s="35" customFormat="1" hidden="1" outlineLevel="1" x14ac:dyDescent="0.3">
      <c r="A49" s="34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/>
      <c r="F49" s="2"/>
      <c r="G49" s="2"/>
      <c r="H49" s="2"/>
      <c r="I49" s="2"/>
      <c r="J49" s="2">
        <v>500</v>
      </c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3000</v>
      </c>
    </row>
    <row r="50" spans="1:17" s="35" customFormat="1" collapsed="1" x14ac:dyDescent="0.3">
      <c r="A50" s="34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25000</v>
      </c>
      <c r="I50" s="1">
        <f>SUM(OSRRefD21_6x_5)</f>
        <v>300</v>
      </c>
      <c r="J50" s="1">
        <f>SUM(OSRRefE21_6x_0)</f>
        <v>10000</v>
      </c>
      <c r="K50" s="1">
        <f>SUM(OSRRefE21_6x_1)</f>
        <v>500</v>
      </c>
      <c r="L50" s="1">
        <f>SUM(OSRRefE21_6x_2)</f>
        <v>500</v>
      </c>
      <c r="M50" s="1">
        <f>SUM(OSRRefE21_6x_3)</f>
        <v>10000</v>
      </c>
      <c r="N50" s="1">
        <f>SUM(OSRRefE21_6x_4)</f>
        <v>500</v>
      </c>
      <c r="O50" s="1">
        <f>SUM(OSRRefE21_6x_5)</f>
        <v>300</v>
      </c>
      <c r="Q50" s="2">
        <f>SUM(OSRRefD20_6x)+IFERROR(SUM(OSRRefE20_6x),0)</f>
        <v>47100</v>
      </c>
    </row>
    <row r="51" spans="1:17" s="35" customFormat="1" hidden="1" outlineLevel="1" x14ac:dyDescent="0.3">
      <c r="A51" s="34"/>
      <c r="B51" s="10" t="str">
        <f>CONCATENATE("          ","6399", " - ","DONATION-ON CAMPUS")</f>
        <v xml:space="preserve">          6399 - DONATION-ON CAMPUS</v>
      </c>
      <c r="C51" s="14"/>
      <c r="D51" s="2"/>
      <c r="E51" s="2"/>
      <c r="F51" s="2"/>
      <c r="G51" s="2"/>
      <c r="H51" s="2">
        <v>25000</v>
      </c>
      <c r="I51" s="2">
        <v>300</v>
      </c>
      <c r="J51" s="2">
        <v>10000</v>
      </c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47100</v>
      </c>
    </row>
    <row r="52" spans="1:17" s="35" customFormat="1" collapsed="1" x14ac:dyDescent="0.3">
      <c r="A52" s="34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8.02</v>
      </c>
      <c r="J52" s="1">
        <f>SUM(OSRRefE21_7x_0)</f>
        <v>250</v>
      </c>
      <c r="K52" s="1">
        <f>SUM(OSRRefE21_7x_1)</f>
        <v>250</v>
      </c>
      <c r="L52" s="1">
        <f>SUM(OSRRefE21_7x_2)</f>
        <v>250</v>
      </c>
      <c r="M52" s="1">
        <f>SUM(OSRRefE21_7x_3)</f>
        <v>250</v>
      </c>
      <c r="N52" s="1">
        <f>SUM(OSRRefE21_7x_4)</f>
        <v>12750</v>
      </c>
      <c r="O52" s="1">
        <f>SUM(OSRRefE21_7x_5)</f>
        <v>2250</v>
      </c>
      <c r="Q52" s="2">
        <f>SUM(OSRRefD20_7x)+IFERROR(SUM(OSRRefE20_7x),0)</f>
        <v>16008.02</v>
      </c>
    </row>
    <row r="53" spans="1:17" s="35" customFormat="1" hidden="1" outlineLevel="1" x14ac:dyDescent="0.3">
      <c r="A53" s="34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/>
      <c r="H53" s="2"/>
      <c r="I53" s="2">
        <v>8.02</v>
      </c>
      <c r="J53" s="2">
        <v>250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16008.02</v>
      </c>
    </row>
    <row r="54" spans="1:17" s="35" customFormat="1" collapsed="1" x14ac:dyDescent="0.3">
      <c r="A54" s="34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SUM(OSRRefD21_8x_3)</f>
        <v>208.97</v>
      </c>
      <c r="H54" s="1">
        <f>SUM(OSRRefD21_8x_4)</f>
        <v>208.97</v>
      </c>
      <c r="I54" s="1">
        <f>SUM(OSRRefD21_8x_5)</f>
        <v>208.97</v>
      </c>
      <c r="J54" s="1">
        <f>SUM(OSRRefE21_8x_0)</f>
        <v>284</v>
      </c>
      <c r="K54" s="1">
        <f>SUM(OSRRefE21_8x_1)</f>
        <v>284</v>
      </c>
      <c r="L54" s="1">
        <f>SUM(OSRRefE21_8x_2)</f>
        <v>284</v>
      </c>
      <c r="M54" s="1">
        <f>SUM(OSRRefE21_8x_3)</f>
        <v>284</v>
      </c>
      <c r="N54" s="1">
        <f>SUM(OSRRefE21_8x_4)</f>
        <v>284</v>
      </c>
      <c r="O54" s="1">
        <f>SUM(OSRRefE21_8x_5)</f>
        <v>284</v>
      </c>
      <c r="Q54" s="2">
        <f>SUM(OSRRefD20_8x)+IFERROR(SUM(OSRRefE20_8x),0)</f>
        <v>2957.8199999999997</v>
      </c>
    </row>
    <row r="55" spans="1:17" s="35" customFormat="1" hidden="1" outlineLevel="1" x14ac:dyDescent="0.3">
      <c r="A55" s="34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208.97</v>
      </c>
      <c r="F55" s="2">
        <v>208.97</v>
      </c>
      <c r="G55" s="2">
        <v>208.97</v>
      </c>
      <c r="H55" s="2">
        <v>208.97</v>
      </c>
      <c r="I55" s="2">
        <v>208.97</v>
      </c>
      <c r="J55" s="2">
        <v>284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2957.8199999999997</v>
      </c>
    </row>
    <row r="56" spans="1:17" s="35" customFormat="1" collapsed="1" x14ac:dyDescent="0.3">
      <c r="A56" s="34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SUM(OSRRefD21_9x_1)</f>
        <v>183.16</v>
      </c>
      <c r="F56" s="1">
        <f>SUM(OSRRefD21_9x_2)</f>
        <v>228.65</v>
      </c>
      <c r="G56" s="1">
        <f>SUM(OSRRefD21_9x_3)</f>
        <v>214.36</v>
      </c>
      <c r="H56" s="1">
        <f>SUM(OSRRefD21_9x_4)</f>
        <v>134.22</v>
      </c>
      <c r="I56" s="1">
        <f>SUM(OSRRefD21_9x_5)</f>
        <v>154.88999999999999</v>
      </c>
      <c r="J56" s="1">
        <f>SUM(OSRRefE21_9x_0)</f>
        <v>210</v>
      </c>
      <c r="K56" s="1">
        <f>SUM(OSRRefE21_9x_1)</f>
        <v>210</v>
      </c>
      <c r="L56" s="1">
        <f>SUM(OSRRefE21_9x_2)</f>
        <v>285</v>
      </c>
      <c r="M56" s="1">
        <f>SUM(OSRRefE21_9x_3)</f>
        <v>210</v>
      </c>
      <c r="N56" s="1">
        <f>SUM(OSRRefE21_9x_4)</f>
        <v>210</v>
      </c>
      <c r="O56" s="1">
        <f>SUM(OSRRefE21_9x_5)</f>
        <v>285</v>
      </c>
      <c r="Q56" s="2">
        <f>SUM(OSRRefD20_9x)+IFERROR(SUM(OSRRefE20_9x),0)</f>
        <v>2428.0100000000002</v>
      </c>
    </row>
    <row r="57" spans="1:17" s="35" customFormat="1" hidden="1" outlineLevel="1" x14ac:dyDescent="0.3">
      <c r="A57" s="34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183.16</v>
      </c>
      <c r="F57" s="2">
        <v>228.65</v>
      </c>
      <c r="G57" s="2">
        <v>214.36</v>
      </c>
      <c r="H57" s="2">
        <v>134.22</v>
      </c>
      <c r="I57" s="2">
        <v>154.88999999999999</v>
      </c>
      <c r="J57" s="2">
        <v>210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2428.0100000000002</v>
      </c>
    </row>
    <row r="58" spans="1:17" s="35" customFormat="1" collapsed="1" x14ac:dyDescent="0.3">
      <c r="A58" s="34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SUM(OSRRefD21_10x_1)</f>
        <v>200.5</v>
      </c>
      <c r="F58" s="1">
        <f>SUM(OSRRefD21_10x_2)</f>
        <v>890.75</v>
      </c>
      <c r="G58" s="1">
        <f>SUM(OSRRefD21_10x_3)</f>
        <v>-718.57</v>
      </c>
      <c r="H58" s="1">
        <f>SUM(OSRRefD21_10x_4)</f>
        <v>182</v>
      </c>
      <c r="I58" s="1">
        <f>SUM(OSRRefD21_10x_5)</f>
        <v>189.5</v>
      </c>
      <c r="J58" s="1">
        <f>SUM(OSRRefE21_10x_0)</f>
        <v>0</v>
      </c>
      <c r="K58" s="1">
        <f>SUM(OSRRefE21_10x_1)</f>
        <v>0</v>
      </c>
      <c r="L58" s="1">
        <f>SUM(OSRRefE21_10x_2)</f>
        <v>-150</v>
      </c>
      <c r="M58" s="1">
        <f>SUM(OSRRefE21_10x_3)</f>
        <v>0</v>
      </c>
      <c r="N58" s="1">
        <f>SUM(OSRRefE21_10x_4)</f>
        <v>0</v>
      </c>
      <c r="O58" s="1">
        <f>SUM(OSRRefE21_10x_5)</f>
        <v>0</v>
      </c>
      <c r="Q58" s="2">
        <f>SUM(OSRRefD20_10x)+IFERROR(SUM(OSRRefE20_10x),0)</f>
        <v>1623.6799999999998</v>
      </c>
    </row>
    <row r="59" spans="1:17" s="35" customFormat="1" hidden="1" outlineLevel="1" x14ac:dyDescent="0.3">
      <c r="A59" s="34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200.5</v>
      </c>
      <c r="F59" s="2">
        <v>890.75</v>
      </c>
      <c r="G59" s="2">
        <v>-718.57</v>
      </c>
      <c r="H59" s="2">
        <v>182</v>
      </c>
      <c r="I59" s="2">
        <v>189.5</v>
      </c>
      <c r="J59" s="2">
        <v>0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1623.6799999999998</v>
      </c>
    </row>
    <row r="60" spans="1:17" s="35" customFormat="1" collapsed="1" x14ac:dyDescent="0.3">
      <c r="A60" s="34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SUM(OSRRefD21_11x_1)</f>
        <v>535.05999999999995</v>
      </c>
      <c r="F60" s="1">
        <f>SUM(OSRRefD21_11x_2)</f>
        <v>535.05999999999995</v>
      </c>
      <c r="G60" s="1">
        <f>SUM(OSRRefD21_11x_3)</f>
        <v>535.05999999999995</v>
      </c>
      <c r="H60" s="1">
        <f>SUM(OSRRefD21_11x_4)</f>
        <v>535.05999999999995</v>
      </c>
      <c r="I60" s="1">
        <f>SUM(OSRRefD21_11x_5)</f>
        <v>535.05999999999995</v>
      </c>
      <c r="J60" s="1">
        <f>SUM(OSRRefE21_11x_0)</f>
        <v>530</v>
      </c>
      <c r="K60" s="1">
        <f>SUM(OSRRefE21_11x_1)</f>
        <v>530</v>
      </c>
      <c r="L60" s="1">
        <f>SUM(OSRRefE21_11x_2)</f>
        <v>530</v>
      </c>
      <c r="M60" s="1">
        <f>SUM(OSRRefE21_11x_3)</f>
        <v>530</v>
      </c>
      <c r="N60" s="1">
        <f>SUM(OSRRefE21_11x_4)</f>
        <v>530</v>
      </c>
      <c r="O60" s="1">
        <f>SUM(OSRRefE21_11x_5)</f>
        <v>530</v>
      </c>
      <c r="Q60" s="2">
        <f>SUM(OSRRefD20_11x)+IFERROR(SUM(OSRRefE20_11x),0)</f>
        <v>6390.36</v>
      </c>
    </row>
    <row r="61" spans="1:17" s="35" customFormat="1" hidden="1" outlineLevel="1" x14ac:dyDescent="0.3">
      <c r="A61" s="34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535.05999999999995</v>
      </c>
      <c r="F61" s="2">
        <v>535.05999999999995</v>
      </c>
      <c r="G61" s="2">
        <v>535.05999999999995</v>
      </c>
      <c r="H61" s="2">
        <v>535.05999999999995</v>
      </c>
      <c r="I61" s="2">
        <v>535.05999999999995</v>
      </c>
      <c r="J61" s="2">
        <v>530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6390.36</v>
      </c>
    </row>
    <row r="62" spans="1:17" s="35" customFormat="1" collapsed="1" x14ac:dyDescent="0.3">
      <c r="A62" s="34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SUM(OSRRefD21_12x_1)</f>
        <v>10337.75</v>
      </c>
      <c r="F62" s="1">
        <f>SUM(OSRRefD21_12x_2)</f>
        <v>17753.849999999999</v>
      </c>
      <c r="G62" s="1">
        <f>SUM(OSRRefD21_12x_3)</f>
        <v>32573.27</v>
      </c>
      <c r="H62" s="1">
        <f>SUM(OSRRefD21_12x_4)</f>
        <v>16700</v>
      </c>
      <c r="I62" s="1">
        <f>SUM(OSRRefD21_12x_5)</f>
        <v>693.21</v>
      </c>
      <c r="J62" s="1">
        <f>SUM(OSRRefE21_12x_0)</f>
        <v>19666</v>
      </c>
      <c r="K62" s="1">
        <f>SUM(OSRRefE21_12x_1)</f>
        <v>1666</v>
      </c>
      <c r="L62" s="1">
        <f>SUM(OSRRefE21_12x_2)</f>
        <v>10666</v>
      </c>
      <c r="M62" s="1">
        <f>SUM(OSRRefE21_12x_3)</f>
        <v>14666</v>
      </c>
      <c r="N62" s="1">
        <f>SUM(OSRRefE21_12x_4)</f>
        <v>2666</v>
      </c>
      <c r="O62" s="1">
        <f>SUM(OSRRefE21_12x_5)</f>
        <v>1674</v>
      </c>
      <c r="Q62" s="2">
        <f>SUM(OSRRefD20_12x)+IFERROR(SUM(OSRRefE20_12x),0)</f>
        <v>134012.08000000002</v>
      </c>
    </row>
    <row r="63" spans="1:17" s="35" customFormat="1" hidden="1" outlineLevel="1" x14ac:dyDescent="0.3">
      <c r="A63" s="34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10337.75</v>
      </c>
      <c r="F63" s="2">
        <v>16500</v>
      </c>
      <c r="G63" s="2">
        <v>29087.75</v>
      </c>
      <c r="H63" s="2">
        <v>13250</v>
      </c>
      <c r="I63" s="2"/>
      <c r="J63" s="2">
        <v>15000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97175.5</v>
      </c>
    </row>
    <row r="64" spans="1:17" s="35" customFormat="1" hidden="1" outlineLevel="1" x14ac:dyDescent="0.3">
      <c r="A64" s="34"/>
      <c r="B64" s="10" t="str">
        <f>CONCATENATE("          ","6332", " - ","CONSULTANT FEES")</f>
        <v xml:space="preserve">          6332 - CONSULTANT FEES</v>
      </c>
      <c r="C64" s="14"/>
      <c r="D64" s="2"/>
      <c r="E64" s="2"/>
      <c r="F64" s="2"/>
      <c r="G64" s="2"/>
      <c r="H64" s="2"/>
      <c r="I64" s="2"/>
      <c r="J64" s="2">
        <v>3000</v>
      </c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11000</v>
      </c>
    </row>
    <row r="65" spans="1:17" s="35" customFormat="1" hidden="1" outlineLevel="1" x14ac:dyDescent="0.3">
      <c r="A65" s="34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/>
      <c r="F65" s="2"/>
      <c r="G65" s="2">
        <v>75</v>
      </c>
      <c r="H65" s="2">
        <v>125</v>
      </c>
      <c r="I65" s="2"/>
      <c r="J65" s="2">
        <v>833</v>
      </c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10457</v>
      </c>
    </row>
    <row r="66" spans="1:17" s="35" customFormat="1" hidden="1" outlineLevel="1" x14ac:dyDescent="0.3">
      <c r="A66" s="34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/>
      <c r="F66" s="2">
        <v>1253.8499999999999</v>
      </c>
      <c r="G66" s="2">
        <v>3410.52</v>
      </c>
      <c r="H66" s="2">
        <v>3325</v>
      </c>
      <c r="I66" s="2">
        <v>693.21</v>
      </c>
      <c r="J66" s="2">
        <v>833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15379.579999999998</v>
      </c>
    </row>
    <row r="67" spans="1:17" s="35" customFormat="1" collapsed="1" x14ac:dyDescent="0.3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SUM(OSRRefD21_13x_1)</f>
        <v>19209.64</v>
      </c>
      <c r="F67" s="1">
        <f>SUM(OSRRefD21_13x_2)</f>
        <v>15329.43</v>
      </c>
      <c r="G67" s="1">
        <f>SUM(OSRRefD21_13x_3)</f>
        <v>20473.939999999999</v>
      </c>
      <c r="H67" s="1">
        <f>SUM(OSRRefD21_13x_4)</f>
        <v>19678.11</v>
      </c>
      <c r="I67" s="1">
        <f>SUM(OSRRefD21_13x_5)</f>
        <v>22454.78</v>
      </c>
      <c r="J67" s="1">
        <f>SUM(OSRRefE21_13x_0)</f>
        <v>26807</v>
      </c>
      <c r="K67" s="1">
        <f>SUM(OSRRefE21_13x_1)</f>
        <v>33307</v>
      </c>
      <c r="L67" s="1">
        <f>SUM(OSRRefE21_13x_2)</f>
        <v>40307</v>
      </c>
      <c r="M67" s="1">
        <f>SUM(OSRRefE21_13x_3)</f>
        <v>27807</v>
      </c>
      <c r="N67" s="1">
        <f>SUM(OSRRefE21_13x_4)</f>
        <v>22307</v>
      </c>
      <c r="O67" s="1">
        <f>SUM(OSRRefE21_13x_5)</f>
        <v>22307</v>
      </c>
      <c r="Q67" s="2">
        <f>SUM(OSRRefD20_13x)+IFERROR(SUM(OSRRefE20_13x),0)</f>
        <v>286721.94</v>
      </c>
    </row>
    <row r="68" spans="1:17" s="35" customFormat="1" hidden="1" outlineLevel="1" x14ac:dyDescent="0.3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6794.88</v>
      </c>
      <c r="F68" s="2">
        <v>4894.6899999999996</v>
      </c>
      <c r="G68" s="2">
        <v>6247.84</v>
      </c>
      <c r="H68" s="2">
        <v>6466.12</v>
      </c>
      <c r="I68" s="2">
        <v>8214.92</v>
      </c>
      <c r="J68" s="2">
        <v>9600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128002.33</v>
      </c>
    </row>
    <row r="69" spans="1:17" s="35" customFormat="1" hidden="1" outlineLevel="1" x14ac:dyDescent="0.3">
      <c r="A69" s="34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/>
      <c r="G69" s="2">
        <v>1008.07</v>
      </c>
      <c r="H69" s="2"/>
      <c r="I69" s="2">
        <v>3752.4</v>
      </c>
      <c r="J69" s="2">
        <v>0</v>
      </c>
      <c r="K69" s="2"/>
      <c r="L69" s="2"/>
      <c r="M69" s="2"/>
      <c r="N69" s="2"/>
      <c r="O69" s="2"/>
      <c r="P69" s="9"/>
      <c r="Q69" s="2">
        <f>SUM(OSRRefD21_13_1x)+IFERROR(SUM(OSRRefE21_13_1x),0)</f>
        <v>4760.47</v>
      </c>
    </row>
    <row r="70" spans="1:17" s="35" customFormat="1" hidden="1" outlineLevel="1" x14ac:dyDescent="0.3">
      <c r="A70" s="34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10648.33</v>
      </c>
      <c r="F70" s="2">
        <v>10434.74</v>
      </c>
      <c r="G70" s="2">
        <v>13145.19</v>
      </c>
      <c r="H70" s="2">
        <v>13211.99</v>
      </c>
      <c r="I70" s="2">
        <v>10487.46</v>
      </c>
      <c r="J70" s="2">
        <v>17057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151219.87</v>
      </c>
    </row>
    <row r="71" spans="1:17" s="35" customFormat="1" hidden="1" outlineLevel="1" x14ac:dyDescent="0.3">
      <c r="A71" s="34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1766.43</v>
      </c>
      <c r="F71" s="2"/>
      <c r="G71" s="2">
        <v>72.84</v>
      </c>
      <c r="H71" s="2"/>
      <c r="I71" s="2"/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2739.27</v>
      </c>
    </row>
    <row r="72" spans="1:17" s="35" customFormat="1" collapsed="1" x14ac:dyDescent="0.3">
      <c r="A72" s="34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SUM(OSRRefD21_14x_1)</f>
        <v>1367.89</v>
      </c>
      <c r="F72" s="1">
        <f>SUM(OSRRefD21_14x_2)</f>
        <v>657.38</v>
      </c>
      <c r="G72" s="1">
        <f>SUM(OSRRefD21_14x_3)</f>
        <v>657.38</v>
      </c>
      <c r="H72" s="1">
        <f>SUM(OSRRefD21_14x_4)</f>
        <v>657.38</v>
      </c>
      <c r="I72" s="1">
        <f>SUM(OSRRefD21_14x_5)</f>
        <v>657.38</v>
      </c>
      <c r="J72" s="1">
        <f>SUM(OSRRefE21_14x_0)</f>
        <v>650</v>
      </c>
      <c r="K72" s="1">
        <f>SUM(OSRRefE21_14x_1)</f>
        <v>650</v>
      </c>
      <c r="L72" s="1">
        <f>SUM(OSRRefE21_14x_2)</f>
        <v>650</v>
      </c>
      <c r="M72" s="1">
        <f>SUM(OSRRefE21_14x_3)</f>
        <v>650</v>
      </c>
      <c r="N72" s="1">
        <f>SUM(OSRRefE21_14x_4)</f>
        <v>650</v>
      </c>
      <c r="O72" s="1">
        <f>SUM(OSRRefE21_14x_5)</f>
        <v>650</v>
      </c>
      <c r="Q72" s="2">
        <f>SUM(OSRRefD20_14x)+IFERROR(SUM(OSRRefE20_14x),0)</f>
        <v>7897.41</v>
      </c>
    </row>
    <row r="73" spans="1:17" s="35" customFormat="1" hidden="1" outlineLevel="1" x14ac:dyDescent="0.3">
      <c r="A73" s="34"/>
      <c r="B73" s="10" t="str">
        <f>CONCATENATE("          ","6281", " - ","STORAGE FEE")</f>
        <v xml:space="preserve">          6281 - STORAGE FEE</v>
      </c>
      <c r="C73" s="14"/>
      <c r="D73" s="2"/>
      <c r="E73" s="2">
        <v>1367.89</v>
      </c>
      <c r="F73" s="2">
        <v>657.38</v>
      </c>
      <c r="G73" s="2">
        <v>657.38</v>
      </c>
      <c r="H73" s="2">
        <v>657.38</v>
      </c>
      <c r="I73" s="2">
        <v>657.38</v>
      </c>
      <c r="J73" s="2">
        <v>625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7747.41</v>
      </c>
    </row>
    <row r="74" spans="1:17" s="35" customFormat="1" hidden="1" outlineLevel="1" x14ac:dyDescent="0.3">
      <c r="A74" s="34"/>
      <c r="B74" s="10" t="str">
        <f>CONCATENATE("          ","6286", " - ","LAUNDRY EXPENSE")</f>
        <v xml:space="preserve">          6286 - LAUNDRY EXPENSE</v>
      </c>
      <c r="C74" s="14"/>
      <c r="D74" s="2"/>
      <c r="E74" s="2"/>
      <c r="F74" s="2"/>
      <c r="G74" s="2"/>
      <c r="H74" s="2"/>
      <c r="I74" s="2"/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150</v>
      </c>
    </row>
    <row r="75" spans="1:17" s="35" customFormat="1" collapsed="1" x14ac:dyDescent="0.3">
      <c r="A75" s="34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SUM(OSRRefD21_15x_1)</f>
        <v>1000</v>
      </c>
      <c r="F75" s="1">
        <f>SUM(OSRRefD21_15x_2)</f>
        <v>0</v>
      </c>
      <c r="G75" s="1">
        <f>SUM(OSRRefD21_15x_3)</f>
        <v>438</v>
      </c>
      <c r="H75" s="1">
        <f>SUM(OSRRefD21_15x_4)</f>
        <v>0</v>
      </c>
      <c r="I75" s="1">
        <f>SUM(OSRRefD21_15x_5)</f>
        <v>795</v>
      </c>
      <c r="J75" s="1">
        <f>SUM(OSRRefE21_15x_0)</f>
        <v>250</v>
      </c>
      <c r="K75" s="1">
        <f>SUM(OSRRefE21_15x_1)</f>
        <v>0</v>
      </c>
      <c r="L75" s="1">
        <f>SUM(OSRRefE21_15x_2)</f>
        <v>0</v>
      </c>
      <c r="M75" s="1">
        <f>SUM(OSRRefE21_15x_3)</f>
        <v>4668</v>
      </c>
      <c r="N75" s="1">
        <f>SUM(OSRRefE21_15x_4)</f>
        <v>1550</v>
      </c>
      <c r="O75" s="1">
        <f>SUM(OSRRefE21_15x_5)</f>
        <v>230</v>
      </c>
      <c r="Q75" s="2">
        <f>SUM(OSRRefD20_15x)+IFERROR(SUM(OSRRefE20_15x),0)</f>
        <v>9150</v>
      </c>
    </row>
    <row r="76" spans="1:17" s="35" customFormat="1" hidden="1" outlineLevel="1" x14ac:dyDescent="0.3">
      <c r="A76" s="34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1000</v>
      </c>
      <c r="F76" s="2"/>
      <c r="G76" s="2">
        <v>438</v>
      </c>
      <c r="H76" s="2"/>
      <c r="I76" s="2">
        <v>795</v>
      </c>
      <c r="J76" s="2">
        <v>250</v>
      </c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9150</v>
      </c>
    </row>
    <row r="77" spans="1:17" s="35" customFormat="1" collapsed="1" x14ac:dyDescent="0.3">
      <c r="A77" s="34"/>
      <c r="B77" s="14" t="str">
        <f>CONCATENATE("     ","Supplies                                          ")</f>
        <v xml:space="preserve">     Supplies                                          </v>
      </c>
      <c r="C77" s="14"/>
      <c r="D77" s="1">
        <f>SUM(OSRRefD21_16x_0)</f>
        <v>3414.08</v>
      </c>
      <c r="E77" s="1">
        <f>SUM(OSRRefD21_16x_1)</f>
        <v>2872.79</v>
      </c>
      <c r="F77" s="1">
        <f>SUM(OSRRefD21_16x_2)</f>
        <v>291.31</v>
      </c>
      <c r="G77" s="1">
        <f>SUM(OSRRefD21_16x_3)</f>
        <v>3300.55</v>
      </c>
      <c r="H77" s="1">
        <f>SUM(OSRRefD21_16x_4)</f>
        <v>630.96</v>
      </c>
      <c r="I77" s="1">
        <f>SUM(OSRRefD21_16x_5)</f>
        <v>896.77</v>
      </c>
      <c r="J77" s="1">
        <f>SUM(OSRRefE21_16x_0)</f>
        <v>2784</v>
      </c>
      <c r="K77" s="1">
        <f>SUM(OSRRefE21_16x_1)</f>
        <v>2784</v>
      </c>
      <c r="L77" s="1">
        <f>SUM(OSRRefE21_16x_2)</f>
        <v>2784</v>
      </c>
      <c r="M77" s="1">
        <f>SUM(OSRRefE21_16x_3)</f>
        <v>2784</v>
      </c>
      <c r="N77" s="1">
        <f>SUM(OSRRefE21_16x_4)</f>
        <v>2784</v>
      </c>
      <c r="O77" s="1">
        <f>SUM(OSRRefE21_16x_5)</f>
        <v>2776</v>
      </c>
      <c r="Q77" s="2">
        <f>SUM(OSRRefD20_16x)+IFERROR(SUM(OSRRefE20_16x),0)</f>
        <v>28102.46</v>
      </c>
    </row>
    <row r="78" spans="1:17" s="35" customFormat="1" hidden="1" outlineLevel="1" x14ac:dyDescent="0.3">
      <c r="A78" s="34"/>
      <c r="B78" s="10" t="str">
        <f>CONCATENATE("          ","6234", " - ","EXPENDABLE SUPPLIES &amp; EQUIPMEN")</f>
        <v xml:space="preserve">          6234 - EXPENDABLE SUPPLIES &amp; EQUIPMEN</v>
      </c>
      <c r="C78" s="14"/>
      <c r="D78" s="2"/>
      <c r="E78" s="2">
        <v>26.1</v>
      </c>
      <c r="F78" s="2"/>
      <c r="G78" s="2"/>
      <c r="H78" s="2"/>
      <c r="I78" s="2"/>
      <c r="J78" s="2">
        <v>125</v>
      </c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SUM(OSRRefD21_16_0x)+IFERROR(SUM(OSRRefE21_16_0x),0)</f>
        <v>776.1</v>
      </c>
    </row>
    <row r="79" spans="1:17" s="35" customFormat="1" hidden="1" outlineLevel="1" x14ac:dyDescent="0.3">
      <c r="A79" s="34"/>
      <c r="B79" s="10" t="str">
        <f>CONCATENATE("          ","6235", " - ","COVID-19 EXPENSES")</f>
        <v xml:space="preserve">          6235 - COVID-19 EXPENSES</v>
      </c>
      <c r="C79" s="14"/>
      <c r="D79" s="2">
        <v>2447.77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SUM(OSRRefD21_16_1x)+IFERROR(SUM(OSRRefE21_16_1x),0)</f>
        <v>2447.77</v>
      </c>
    </row>
    <row r="80" spans="1:17" s="35" customFormat="1" hidden="1" outlineLevel="1" x14ac:dyDescent="0.3">
      <c r="A80" s="34"/>
      <c r="B80" s="10" t="str">
        <f>CONCATENATE("          ","6241", " - ","OFFICE EXPENSE")</f>
        <v xml:space="preserve">          6241 - OFFICE EXPENSE</v>
      </c>
      <c r="C80" s="14"/>
      <c r="D80" s="2">
        <v>791.31</v>
      </c>
      <c r="E80" s="2">
        <v>1610</v>
      </c>
      <c r="F80" s="2">
        <v>116.31</v>
      </c>
      <c r="G80" s="2">
        <v>1552.55</v>
      </c>
      <c r="H80" s="2">
        <v>580.96</v>
      </c>
      <c r="I80" s="2">
        <v>896.77</v>
      </c>
      <c r="J80" s="2">
        <v>2242</v>
      </c>
      <c r="K80" s="2">
        <v>2242</v>
      </c>
      <c r="L80" s="2">
        <v>2242</v>
      </c>
      <c r="M80" s="2">
        <v>2242</v>
      </c>
      <c r="N80" s="2">
        <v>2242</v>
      </c>
      <c r="O80" s="2">
        <v>2238</v>
      </c>
      <c r="P80" s="9"/>
      <c r="Q80" s="2">
        <f>SUM(OSRRefD21_16_2x)+IFERROR(SUM(OSRRefE21_16_2x),0)</f>
        <v>18995.900000000001</v>
      </c>
    </row>
    <row r="81" spans="1:17" s="35" customFormat="1" hidden="1" outlineLevel="1" x14ac:dyDescent="0.3">
      <c r="A81" s="34"/>
      <c r="B81" s="10" t="str">
        <f>CONCATENATE("          ","6244", " - ","SAFETY SUPPLY EXPENSE")</f>
        <v xml:space="preserve">          6244 - SAFETY SUPPLY EXPENSE</v>
      </c>
      <c r="C81" s="14"/>
      <c r="D81" s="2">
        <v>175</v>
      </c>
      <c r="E81" s="2">
        <v>25</v>
      </c>
      <c r="F81" s="2">
        <v>175</v>
      </c>
      <c r="G81" s="2">
        <v>175</v>
      </c>
      <c r="H81" s="2">
        <v>50</v>
      </c>
      <c r="I81" s="2"/>
      <c r="J81" s="2">
        <v>417</v>
      </c>
      <c r="K81" s="2">
        <v>417</v>
      </c>
      <c r="L81" s="2">
        <v>417</v>
      </c>
      <c r="M81" s="2">
        <v>417</v>
      </c>
      <c r="N81" s="2">
        <v>417</v>
      </c>
      <c r="O81" s="2">
        <v>413</v>
      </c>
      <c r="P81" s="9"/>
      <c r="Q81" s="2">
        <f>SUM(OSRRefD21_16_3x)+IFERROR(SUM(OSRRefE21_16_3x),0)</f>
        <v>3098</v>
      </c>
    </row>
    <row r="82" spans="1:17" s="35" customFormat="1" hidden="1" outlineLevel="1" x14ac:dyDescent="0.3">
      <c r="A82" s="34"/>
      <c r="B82" s="10" t="str">
        <f>CONCATENATE("          ","6248", " - ","UNIFORMS")</f>
        <v xml:space="preserve">          6248 - UNIFORMS</v>
      </c>
      <c r="C82" s="14"/>
      <c r="D82" s="2">
        <v>0</v>
      </c>
      <c r="E82" s="2">
        <v>1211.69</v>
      </c>
      <c r="F82" s="2"/>
      <c r="G82" s="2">
        <v>1573</v>
      </c>
      <c r="H82" s="2"/>
      <c r="I82" s="2"/>
      <c r="J82" s="2"/>
      <c r="K82" s="2"/>
      <c r="L82" s="2"/>
      <c r="M82" s="2"/>
      <c r="N82" s="2"/>
      <c r="O82" s="2"/>
      <c r="P82" s="9"/>
      <c r="Q82" s="2">
        <f>SUM(OSRRefD21_16_4x)+IFERROR(SUM(OSRRefE21_16_4x),0)</f>
        <v>2784.69</v>
      </c>
    </row>
    <row r="83" spans="1:17" s="35" customFormat="1" collapsed="1" x14ac:dyDescent="0.3">
      <c r="A83" s="34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SUM(OSRRefD21_17x_0)</f>
        <v>2515.34</v>
      </c>
      <c r="E83" s="1">
        <f>SUM(OSRRefD21_17x_1)</f>
        <v>2002.23</v>
      </c>
      <c r="F83" s="1">
        <f>SUM(OSRRefD21_17x_2)</f>
        <v>1996.73</v>
      </c>
      <c r="G83" s="1">
        <f>SUM(OSRRefD21_17x_3)</f>
        <v>3309.04</v>
      </c>
      <c r="H83" s="1">
        <f>SUM(OSRRefD21_17x_4)</f>
        <v>2393.02</v>
      </c>
      <c r="I83" s="1">
        <f>SUM(OSRRefD21_17x_5)</f>
        <v>1567.48</v>
      </c>
      <c r="J83" s="1">
        <f>SUM(OSRRefE21_17x_0)</f>
        <v>1805</v>
      </c>
      <c r="K83" s="1">
        <f>SUM(OSRRefE21_17x_1)</f>
        <v>1805</v>
      </c>
      <c r="L83" s="1">
        <f>SUM(OSRRefE21_17x_2)</f>
        <v>1805</v>
      </c>
      <c r="M83" s="1">
        <f>SUM(OSRRefE21_17x_3)</f>
        <v>1805</v>
      </c>
      <c r="N83" s="1">
        <f>SUM(OSRRefE21_17x_4)</f>
        <v>1905</v>
      </c>
      <c r="O83" s="1">
        <f>SUM(OSRRefE21_17x_5)</f>
        <v>1885</v>
      </c>
      <c r="Q83" s="2">
        <f>SUM(OSRRefD20_17x)+IFERROR(SUM(OSRRefE20_17x),0)</f>
        <v>24793.84</v>
      </c>
    </row>
    <row r="84" spans="1:17" s="35" customFormat="1" hidden="1" outlineLevel="1" x14ac:dyDescent="0.3">
      <c r="A84" s="34"/>
      <c r="B84" s="10" t="str">
        <f>CONCATENATE("          ","6303", " - ","DATA PHONE LINES")</f>
        <v xml:space="preserve">          6303 - DATA PHONE LINES</v>
      </c>
      <c r="C84" s="14"/>
      <c r="D84" s="2">
        <v>161.97999999999999</v>
      </c>
      <c r="E84" s="2">
        <v>161.97999999999999</v>
      </c>
      <c r="F84" s="2"/>
      <c r="G84" s="2">
        <v>332.96</v>
      </c>
      <c r="H84" s="2">
        <v>170.98</v>
      </c>
      <c r="I84" s="2">
        <v>81.99</v>
      </c>
      <c r="J84" s="2">
        <v>236</v>
      </c>
      <c r="K84" s="2">
        <v>236</v>
      </c>
      <c r="L84" s="2">
        <v>236</v>
      </c>
      <c r="M84" s="2">
        <v>236</v>
      </c>
      <c r="N84" s="2">
        <v>336</v>
      </c>
      <c r="O84" s="2">
        <v>316</v>
      </c>
      <c r="P84" s="9"/>
      <c r="Q84" s="2">
        <f>SUM(OSRRefD21_17_0x)+IFERROR(SUM(OSRRefE21_17_0x),0)</f>
        <v>2505.89</v>
      </c>
    </row>
    <row r="85" spans="1:17" s="35" customFormat="1" hidden="1" outlineLevel="1" x14ac:dyDescent="0.3">
      <c r="A85" s="34"/>
      <c r="B85" s="10" t="str">
        <f>CONCATENATE("          ","6309", " - ","TELEPHONE")</f>
        <v xml:space="preserve">          6309 - TELEPHONE</v>
      </c>
      <c r="C85" s="14"/>
      <c r="D85" s="2">
        <v>2353.36</v>
      </c>
      <c r="E85" s="2">
        <v>1840.25</v>
      </c>
      <c r="F85" s="2">
        <v>1996.73</v>
      </c>
      <c r="G85" s="2">
        <v>2976.08</v>
      </c>
      <c r="H85" s="2">
        <v>2222.04</v>
      </c>
      <c r="I85" s="2">
        <v>1485.49</v>
      </c>
      <c r="J85" s="2">
        <v>1569</v>
      </c>
      <c r="K85" s="2">
        <v>1569</v>
      </c>
      <c r="L85" s="2">
        <v>1569</v>
      </c>
      <c r="M85" s="2">
        <v>1569</v>
      </c>
      <c r="N85" s="2">
        <v>1569</v>
      </c>
      <c r="O85" s="2">
        <v>1569</v>
      </c>
      <c r="P85" s="9"/>
      <c r="Q85" s="2">
        <f>SUM(OSRRefD21_17_1x)+IFERROR(SUM(OSRRefE21_17_1x),0)</f>
        <v>22287.949999999997</v>
      </c>
    </row>
    <row r="86" spans="1:17" s="35" customFormat="1" collapsed="1" x14ac:dyDescent="0.3">
      <c r="A86" s="34"/>
      <c r="B86" s="14" t="str">
        <f>CONCATENATE("     ","Training                                          ")</f>
        <v xml:space="preserve">     Training                                          </v>
      </c>
      <c r="C86" s="14"/>
      <c r="D86" s="1">
        <f>SUM(OSRRefD21_18x_0)</f>
        <v>0</v>
      </c>
      <c r="E86" s="1">
        <f>SUM(OSRRefD21_18x_1)</f>
        <v>595</v>
      </c>
      <c r="F86" s="1">
        <f>SUM(OSRRefD21_18x_2)</f>
        <v>0</v>
      </c>
      <c r="G86" s="1">
        <f>SUM(OSRRefD21_18x_3)</f>
        <v>475</v>
      </c>
      <c r="H86" s="1">
        <f>SUM(OSRRefD21_18x_4)</f>
        <v>595</v>
      </c>
      <c r="I86" s="1">
        <f>SUM(OSRRefD21_18x_5)</f>
        <v>99</v>
      </c>
      <c r="J86" s="1">
        <f>SUM(OSRRefE21_18x_0)</f>
        <v>5633</v>
      </c>
      <c r="K86" s="1">
        <f>SUM(OSRRefE21_18x_1)</f>
        <v>1833</v>
      </c>
      <c r="L86" s="1">
        <f>SUM(OSRRefE21_18x_2)</f>
        <v>333</v>
      </c>
      <c r="M86" s="1">
        <f>SUM(OSRRefE21_18x_3)</f>
        <v>333</v>
      </c>
      <c r="N86" s="1">
        <f>SUM(OSRRefE21_18x_4)</f>
        <v>333</v>
      </c>
      <c r="O86" s="1">
        <f>SUM(OSRRefE21_18x_5)</f>
        <v>337</v>
      </c>
      <c r="Q86" s="2">
        <f>SUM(OSRRefD20_18x)+IFERROR(SUM(OSRRefE20_18x),0)</f>
        <v>10566</v>
      </c>
    </row>
    <row r="87" spans="1:17" s="35" customFormat="1" hidden="1" outlineLevel="1" x14ac:dyDescent="0.3">
      <c r="A87" s="34"/>
      <c r="B87" s="10" t="str">
        <f>CONCATENATE("          ","6376", " - ","TRAINING")</f>
        <v xml:space="preserve">          6376 - TRAINING</v>
      </c>
      <c r="C87" s="14"/>
      <c r="D87" s="2"/>
      <c r="E87" s="2">
        <v>595</v>
      </c>
      <c r="F87" s="2"/>
      <c r="G87" s="2">
        <v>475</v>
      </c>
      <c r="H87" s="2">
        <v>595</v>
      </c>
      <c r="I87" s="2">
        <v>99</v>
      </c>
      <c r="J87" s="2">
        <v>5633</v>
      </c>
      <c r="K87" s="2">
        <v>1833</v>
      </c>
      <c r="L87" s="2">
        <v>333</v>
      </c>
      <c r="M87" s="2">
        <v>333</v>
      </c>
      <c r="N87" s="2">
        <v>333</v>
      </c>
      <c r="O87" s="2">
        <v>337</v>
      </c>
      <c r="P87" s="9"/>
      <c r="Q87" s="2">
        <f>SUM(OSRRefD21_18_0x)+IFERROR(SUM(OSRRefE21_18_0x),0)</f>
        <v>10566</v>
      </c>
    </row>
    <row r="88" spans="1:17" s="35" customFormat="1" collapsed="1" x14ac:dyDescent="0.3">
      <c r="A88" s="34"/>
      <c r="B88" s="14" t="str">
        <f>CONCATENATE("     ","Travel                                            ")</f>
        <v xml:space="preserve">     Travel                                            </v>
      </c>
      <c r="C88" s="14"/>
      <c r="D88" s="1">
        <f>SUM(OSRRefD21_19x_0)</f>
        <v>17.100000000000001</v>
      </c>
      <c r="E88" s="1">
        <f>SUM(OSRRefD21_19x_1)</f>
        <v>0</v>
      </c>
      <c r="F88" s="1">
        <f>SUM(OSRRefD21_19x_2)</f>
        <v>13.3</v>
      </c>
      <c r="G88" s="1">
        <f>SUM(OSRRefD21_19x_3)</f>
        <v>0</v>
      </c>
      <c r="H88" s="1">
        <f>SUM(OSRRefD21_19x_4)</f>
        <v>0</v>
      </c>
      <c r="I88" s="1">
        <f>SUM(OSRRefD21_19x_5)</f>
        <v>0</v>
      </c>
      <c r="J88" s="1">
        <f>SUM(OSRRefE21_19x_0)</f>
        <v>2000</v>
      </c>
      <c r="K88" s="1">
        <f>SUM(OSRRefE21_19x_1)</f>
        <v>0</v>
      </c>
      <c r="L88" s="1">
        <f>SUM(OSRRefE21_19x_2)</f>
        <v>0</v>
      </c>
      <c r="M88" s="1">
        <f>SUM(OSRRefE21_19x_3)</f>
        <v>0</v>
      </c>
      <c r="N88" s="1">
        <f>SUM(OSRRefE21_19x_4)</f>
        <v>0</v>
      </c>
      <c r="O88" s="1">
        <f>SUM(OSRRefE21_19x_5)</f>
        <v>0</v>
      </c>
      <c r="Q88" s="2">
        <f>SUM(OSRRefD20_19x)+IFERROR(SUM(OSRRefE20_19x),0)</f>
        <v>2030.4</v>
      </c>
    </row>
    <row r="89" spans="1:17" s="35" customFormat="1" hidden="1" outlineLevel="1" x14ac:dyDescent="0.3">
      <c r="A89" s="34"/>
      <c r="B89" s="10" t="str">
        <f>CONCATENATE("          ","6292", " - ","TRAVEL/CONFERENCE")</f>
        <v xml:space="preserve">          6292 - TRAVEL/CONFERENCE</v>
      </c>
      <c r="C89" s="14"/>
      <c r="D89" s="2"/>
      <c r="E89" s="2"/>
      <c r="F89" s="2"/>
      <c r="G89" s="2"/>
      <c r="H89" s="2"/>
      <c r="I89" s="2"/>
      <c r="J89" s="2">
        <v>2000</v>
      </c>
      <c r="K89" s="2"/>
      <c r="L89" s="2"/>
      <c r="M89" s="2"/>
      <c r="N89" s="2"/>
      <c r="O89" s="2"/>
      <c r="P89" s="9"/>
      <c r="Q89" s="2">
        <f>SUM(OSRRefD21_19_0x)+IFERROR(SUM(OSRRefE21_19_0x),0)</f>
        <v>2000</v>
      </c>
    </row>
    <row r="90" spans="1:17" s="35" customFormat="1" hidden="1" outlineLevel="1" x14ac:dyDescent="0.3">
      <c r="A90" s="34"/>
      <c r="B90" s="10" t="str">
        <f>CONCATENATE("          ","6294", " - ","TRAVEL OPERATIONAL")</f>
        <v xml:space="preserve">          6294 - TRAVEL OPERATIONAL</v>
      </c>
      <c r="C90" s="14"/>
      <c r="D90" s="2">
        <v>17.100000000000001</v>
      </c>
      <c r="E90" s="2"/>
      <c r="F90" s="2">
        <v>13.3</v>
      </c>
      <c r="G90" s="2"/>
      <c r="H90" s="2"/>
      <c r="I90" s="2"/>
      <c r="J90" s="2"/>
      <c r="K90" s="2"/>
      <c r="L90" s="2"/>
      <c r="M90" s="2"/>
      <c r="N90" s="2"/>
      <c r="O90" s="2"/>
      <c r="P90" s="9"/>
      <c r="Q90" s="2">
        <f>SUM(OSRRefD21_19_1x)+IFERROR(SUM(OSRRefE21_19_1x),0)</f>
        <v>30.400000000000002</v>
      </c>
    </row>
    <row r="91" spans="1:17" s="29" customFormat="1" x14ac:dyDescent="0.3">
      <c r="A91" s="21"/>
      <c r="B91" s="21"/>
      <c r="C91" s="2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s="9" customFormat="1" x14ac:dyDescent="0.3">
      <c r="A92" s="23"/>
      <c r="B92" s="16" t="s">
        <v>293</v>
      </c>
      <c r="C92" s="22"/>
      <c r="D92" s="3">
        <f t="shared" ref="D92:I92" si="4">0</f>
        <v>0</v>
      </c>
      <c r="E92" s="3">
        <f t="shared" si="4"/>
        <v>0</v>
      </c>
      <c r="F92" s="3">
        <f t="shared" si="4"/>
        <v>0</v>
      </c>
      <c r="G92" s="3">
        <f t="shared" si="4"/>
        <v>0</v>
      </c>
      <c r="H92" s="3">
        <f t="shared" si="4"/>
        <v>0</v>
      </c>
      <c r="I92" s="3">
        <f t="shared" si="4"/>
        <v>0</v>
      </c>
      <c r="J92" s="3"/>
      <c r="K92" s="3"/>
      <c r="L92" s="3"/>
      <c r="M92" s="3"/>
      <c r="N92" s="3"/>
      <c r="O92" s="3"/>
      <c r="Q92" s="2">
        <f>SUM(OSRRefD23_0x)+IFERROR(SUM(OSRRefE23_0x),0)</f>
        <v>0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6"/>
      <c r="B94" s="17" t="s">
        <v>276</v>
      </c>
      <c r="C94" s="17"/>
      <c r="D94" s="7">
        <f t="shared" ref="D94:O94" si="5">IFERROR(+D14-D17+D92, 0)</f>
        <v>-232914.85999999996</v>
      </c>
      <c r="E94" s="7">
        <f t="shared" si="5"/>
        <v>-214290.75</v>
      </c>
      <c r="F94" s="7">
        <f t="shared" si="5"/>
        <v>-214039.08999999997</v>
      </c>
      <c r="G94" s="7">
        <f t="shared" si="5"/>
        <v>-248611.91999999995</v>
      </c>
      <c r="H94" s="7">
        <f t="shared" si="5"/>
        <v>-242860.23000000004</v>
      </c>
      <c r="I94" s="7">
        <f t="shared" si="5"/>
        <v>-216572.44999999998</v>
      </c>
      <c r="J94" s="7">
        <f t="shared" si="5"/>
        <v>-308227.51587287692</v>
      </c>
      <c r="K94" s="7">
        <f t="shared" si="5"/>
        <v>-238186.01269830164</v>
      </c>
      <c r="L94" s="7">
        <f t="shared" si="5"/>
        <v>-243411.46615984</v>
      </c>
      <c r="M94" s="7">
        <f t="shared" si="5"/>
        <v>-289108.58269979997</v>
      </c>
      <c r="N94" s="7">
        <f t="shared" si="5"/>
        <v>-230228.17971184</v>
      </c>
      <c r="O94" s="7">
        <f t="shared" si="5"/>
        <v>215603.10673616</v>
      </c>
      <c r="Q94" s="7">
        <f>IFERROR(+Q14-Q17+Q92, 0)</f>
        <v>-2462847.9504064987</v>
      </c>
    </row>
    <row r="95" spans="1:17" s="6" customFormat="1" x14ac:dyDescent="0.3">
      <c r="B95" s="16"/>
      <c r="C95" s="16"/>
      <c r="D95" s="4">
        <f t="shared" ref="D95:O95" si="6">IFERROR(D94/D10, 0)</f>
        <v>0</v>
      </c>
      <c r="E95" s="4">
        <f t="shared" si="6"/>
        <v>0</v>
      </c>
      <c r="F95" s="4">
        <f t="shared" si="6"/>
        <v>0</v>
      </c>
      <c r="G95" s="4">
        <f t="shared" si="6"/>
        <v>0</v>
      </c>
      <c r="H95" s="4">
        <f t="shared" si="6"/>
        <v>0</v>
      </c>
      <c r="I95" s="4">
        <f t="shared" si="6"/>
        <v>0</v>
      </c>
      <c r="J95" s="4">
        <f t="shared" si="6"/>
        <v>0</v>
      </c>
      <c r="K95" s="4">
        <f t="shared" si="6"/>
        <v>0</v>
      </c>
      <c r="L95" s="4">
        <f t="shared" si="6"/>
        <v>0</v>
      </c>
      <c r="M95" s="4">
        <f t="shared" si="6"/>
        <v>0</v>
      </c>
      <c r="N95" s="4">
        <f t="shared" si="6"/>
        <v>0</v>
      </c>
      <c r="O95" s="4">
        <f t="shared" si="6"/>
        <v>0</v>
      </c>
      <c r="P95" s="18"/>
      <c r="Q95" s="4">
        <f>IFERROR(Q94/Q10, 0)</f>
        <v>0</v>
      </c>
    </row>
    <row r="96" spans="1:17" x14ac:dyDescent="0.3">
      <c r="A96" s="5"/>
      <c r="B96" s="6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124</v>
      </c>
      <c r="C98" s="17"/>
      <c r="D98" s="8">
        <f>IFERROR(+D94-#REF!, 0)</f>
        <v>0</v>
      </c>
      <c r="E98" s="8">
        <f>IFERROR(+E94-#REF!, 0)</f>
        <v>0</v>
      </c>
      <c r="F98" s="8">
        <f>IFERROR(+F94-#REF!, 0)</f>
        <v>0</v>
      </c>
      <c r="G98" s="8">
        <f>IFERROR(+G94-#REF!, 0)</f>
        <v>0</v>
      </c>
      <c r="H98" s="8">
        <f>IFERROR(+H94-#REF!, 0)</f>
        <v>0</v>
      </c>
      <c r="I98" s="8">
        <f>IFERROR(+I94-#REF!, 0)</f>
        <v>0</v>
      </c>
      <c r="J98" s="8">
        <f>IFERROR(+J94-#REF!, 0)</f>
        <v>0</v>
      </c>
      <c r="K98" s="8">
        <f>IFERROR(+K94-#REF!, 0)</f>
        <v>0</v>
      </c>
      <c r="L98" s="8">
        <f>IFERROR(+L94-#REF!, 0)</f>
        <v>0</v>
      </c>
      <c r="M98" s="8">
        <f>IFERROR(+M94-#REF!, 0)</f>
        <v>0</v>
      </c>
      <c r="N98" s="8">
        <f>IFERROR(+N94-#REF!, 0)</f>
        <v>0</v>
      </c>
      <c r="O98" s="8">
        <f>IFERROR(+O94-#REF!, 0)</f>
        <v>0</v>
      </c>
      <c r="Q98" s="8">
        <f>IFERROR(+Q94-#REF!, 0)</f>
        <v>0</v>
      </c>
    </row>
    <row r="99" spans="1:17" ht="15" thickTop="1" x14ac:dyDescent="0.3">
      <c r="A99" s="5"/>
      <c r="B99" s="5"/>
      <c r="C99" s="5"/>
      <c r="D99" s="4">
        <f t="shared" ref="D99:O99" si="7">IFERROR(D98/D10, 0)</f>
        <v>0</v>
      </c>
      <c r="E99" s="4">
        <f t="shared" si="7"/>
        <v>0</v>
      </c>
      <c r="F99" s="4">
        <f t="shared" si="7"/>
        <v>0</v>
      </c>
      <c r="G99" s="4">
        <f t="shared" si="7"/>
        <v>0</v>
      </c>
      <c r="H99" s="4">
        <f t="shared" si="7"/>
        <v>0</v>
      </c>
      <c r="I99" s="4">
        <f t="shared" si="7"/>
        <v>0</v>
      </c>
      <c r="J99" s="4">
        <f t="shared" si="7"/>
        <v>0</v>
      </c>
      <c r="K99" s="4">
        <f t="shared" si="7"/>
        <v>0</v>
      </c>
      <c r="L99" s="4">
        <f t="shared" si="7"/>
        <v>0</v>
      </c>
      <c r="M99" s="4">
        <f t="shared" si="7"/>
        <v>0</v>
      </c>
      <c r="N99" s="4">
        <f t="shared" si="7"/>
        <v>0</v>
      </c>
      <c r="O99" s="4">
        <f t="shared" si="7"/>
        <v>0</v>
      </c>
      <c r="P99" s="18"/>
      <c r="Q99" s="4">
        <f>IFERROR(Q98/Q10, 0)</f>
        <v>0</v>
      </c>
    </row>
    <row r="100" spans="1:17" x14ac:dyDescent="0.3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" thickBot="1" x14ac:dyDescent="0.35">
      <c r="A102" s="6"/>
      <c r="B102" s="17" t="s">
        <v>294</v>
      </c>
      <c r="C102" s="17"/>
      <c r="D102" s="8">
        <f t="shared" ref="D102:O102" si="8">IFERROR(SUM(D98:D101), 0)</f>
        <v>0</v>
      </c>
      <c r="E102" s="8">
        <f t="shared" si="8"/>
        <v>0</v>
      </c>
      <c r="F102" s="8">
        <f t="shared" si="8"/>
        <v>0</v>
      </c>
      <c r="G102" s="8">
        <f t="shared" si="8"/>
        <v>0</v>
      </c>
      <c r="H102" s="8">
        <f t="shared" si="8"/>
        <v>0</v>
      </c>
      <c r="I102" s="8">
        <f t="shared" si="8"/>
        <v>0</v>
      </c>
      <c r="J102" s="8">
        <f t="shared" si="8"/>
        <v>0</v>
      </c>
      <c r="K102" s="8">
        <f t="shared" si="8"/>
        <v>0</v>
      </c>
      <c r="L102" s="8">
        <f t="shared" si="8"/>
        <v>0</v>
      </c>
      <c r="M102" s="8">
        <f t="shared" si="8"/>
        <v>0</v>
      </c>
      <c r="N102" s="8">
        <f t="shared" si="8"/>
        <v>0</v>
      </c>
      <c r="O102" s="8">
        <f t="shared" si="8"/>
        <v>0</v>
      </c>
      <c r="Q102" s="8">
        <f>IFERROR(SUM(Q98:Q101), 0)</f>
        <v>0</v>
      </c>
    </row>
    <row r="103" spans="1:17" ht="15" thickTop="1" x14ac:dyDescent="0.3">
      <c r="A103" s="5"/>
      <c r="C103" s="5"/>
      <c r="D103" s="4">
        <f t="shared" ref="D103:O103" si="9">IFERROR(D102/D10, 0)</f>
        <v>0</v>
      </c>
      <c r="E103" s="4">
        <f t="shared" si="9"/>
        <v>0</v>
      </c>
      <c r="F103" s="4">
        <f t="shared" si="9"/>
        <v>0</v>
      </c>
      <c r="G103" s="4">
        <f t="shared" si="9"/>
        <v>0</v>
      </c>
      <c r="H103" s="4">
        <f t="shared" si="9"/>
        <v>0</v>
      </c>
      <c r="I103" s="4">
        <f t="shared" si="9"/>
        <v>0</v>
      </c>
      <c r="J103" s="4">
        <f t="shared" si="9"/>
        <v>0</v>
      </c>
      <c r="K103" s="4">
        <f t="shared" si="9"/>
        <v>0</v>
      </c>
      <c r="L103" s="4">
        <f t="shared" si="9"/>
        <v>0</v>
      </c>
      <c r="M103" s="4">
        <f t="shared" si="9"/>
        <v>0</v>
      </c>
      <c r="N103" s="4">
        <f t="shared" si="9"/>
        <v>0</v>
      </c>
      <c r="O103" s="4">
        <f t="shared" si="9"/>
        <v>0</v>
      </c>
      <c r="P103" s="18"/>
      <c r="Q103" s="4">
        <f>IFERROR(Q102/Q10, 0)</f>
        <v>0</v>
      </c>
    </row>
    <row r="104" spans="1:17" x14ac:dyDescent="0.3">
      <c r="A104" s="5"/>
      <c r="B104" s="28">
        <v>44575.850628819448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3">
      <c r="A105" s="5"/>
      <c r="B105" s="26" t="s">
        <v>54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  <row r="106" spans="1:17" x14ac:dyDescent="0.3">
      <c r="A106" s="5"/>
      <c r="B106" s="31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Q106" s="13"/>
    </row>
    <row r="107" spans="1:17" x14ac:dyDescent="0.3"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","200", " - ", "Corporate Expense")</f>
        <v>Department 200 - Corporate Expense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30323.660000000003</v>
      </c>
      <c r="E17" s="12">
        <f>SUM(OSRRefD20x_1)</f>
        <v>38380.83</v>
      </c>
      <c r="F17" s="12">
        <f>SUM(OSRRefD20x_2)</f>
        <v>29742.210000000003</v>
      </c>
      <c r="G17" s="12">
        <f>SUM(OSRRefD20x_3)</f>
        <v>42121.599999999999</v>
      </c>
      <c r="H17" s="12">
        <f>SUM(OSRRefD20x_4)</f>
        <v>29097.55</v>
      </c>
      <c r="I17" s="12">
        <f>SUM(OSRRefD20x_5)</f>
        <v>30131.45</v>
      </c>
      <c r="J17" s="12">
        <f>SUM(OSRRefE20x_0)</f>
        <v>63508</v>
      </c>
      <c r="K17" s="12">
        <f>SUM(OSRRefE20x_1)</f>
        <v>37508</v>
      </c>
      <c r="L17" s="12">
        <f>SUM(OSRRefE20x_2)</f>
        <v>46508</v>
      </c>
      <c r="M17" s="12">
        <f>SUM(OSRRefE20x_3)</f>
        <v>60508</v>
      </c>
      <c r="N17" s="12">
        <f>SUM(OSRRefE20x_4)</f>
        <v>37008</v>
      </c>
      <c r="O17" s="12">
        <f>SUM(OSRRefE20x_5)</f>
        <v>-395492</v>
      </c>
      <c r="Q17" s="12">
        <f>SUM(OSRRefG20x)</f>
        <v>49345.300000000017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SUM(OSRRefD21_0x_1)</f>
        <v>26975.06</v>
      </c>
      <c r="F18" s="1">
        <f>SUM(OSRRefD21_0x_2)</f>
        <v>28310.06</v>
      </c>
      <c r="G18" s="1">
        <f>SUM(OSRRefD21_0x_3)</f>
        <v>27236.080000000002</v>
      </c>
      <c r="H18" s="1">
        <f>SUM(OSRRefD21_0x_4)</f>
        <v>27384.04</v>
      </c>
      <c r="I18" s="1">
        <f>SUM(OSRRefD21_0x_5)</f>
        <v>28675.06</v>
      </c>
      <c r="J18" s="1">
        <f>SUM(OSRRefE21_0x_0)</f>
        <v>35000</v>
      </c>
      <c r="K18" s="1">
        <f>SUM(OSRRefE21_0x_1)</f>
        <v>35000</v>
      </c>
      <c r="L18" s="1">
        <f>SUM(OSRRefE21_0x_2)</f>
        <v>35000</v>
      </c>
      <c r="M18" s="1">
        <f>SUM(OSRRefE21_0x_3)</f>
        <v>35000</v>
      </c>
      <c r="N18" s="1">
        <f>SUM(OSRRefE21_0x_4)</f>
        <v>35000</v>
      </c>
      <c r="O18" s="1">
        <f>SUM(OSRRefE21_0x_5)</f>
        <v>-400000</v>
      </c>
      <c r="Q18" s="2">
        <f>SUM(OSRRefD20_0x)+IFERROR(SUM(OSRRefE20_0x),0)</f>
        <v>-59283.639999999985</v>
      </c>
    </row>
    <row r="19" spans="1:17" s="35" customFormat="1" hidden="1" outlineLevel="1" x14ac:dyDescent="0.3">
      <c r="A19" s="34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26975.06</v>
      </c>
      <c r="F19" s="2">
        <v>28310.06</v>
      </c>
      <c r="G19" s="2">
        <v>27236.080000000002</v>
      </c>
      <c r="H19" s="2">
        <v>27384.04</v>
      </c>
      <c r="I19" s="2">
        <v>28675.06</v>
      </c>
      <c r="J19" s="2">
        <v>35000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-59283.639999999985</v>
      </c>
    </row>
    <row r="20" spans="1:17" s="35" customFormat="1" collapsed="1" x14ac:dyDescent="0.3">
      <c r="A20" s="34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SUM(OSRRefD21_1x_1)</f>
        <v>7</v>
      </c>
      <c r="F20" s="1">
        <f>SUM(OSRRefD21_1x_2)</f>
        <v>7</v>
      </c>
      <c r="G20" s="1">
        <f>SUM(OSRRefD21_1x_3)</f>
        <v>3111.94</v>
      </c>
      <c r="H20" s="1">
        <f>SUM(OSRRefD21_1x_4)</f>
        <v>3.42</v>
      </c>
      <c r="I20" s="1">
        <f>SUM(OSRRefD21_1x_5)</f>
        <v>119.71</v>
      </c>
      <c r="J20" s="1">
        <f>SUM(OSRRefE21_1x_0)</f>
        <v>10000</v>
      </c>
      <c r="K20" s="1">
        <f>SUM(OSRRefE21_1x_1)</f>
        <v>1000</v>
      </c>
      <c r="L20" s="1">
        <f>SUM(OSRRefE21_1x_2)</f>
        <v>2000</v>
      </c>
      <c r="M20" s="1">
        <f>SUM(OSRRefE21_1x_3)</f>
        <v>10000</v>
      </c>
      <c r="N20" s="1">
        <f>SUM(OSRRefE21_1x_4)</f>
        <v>1000</v>
      </c>
      <c r="O20" s="1">
        <f>SUM(OSRRefE21_1x_5)</f>
        <v>2000</v>
      </c>
      <c r="Q20" s="2">
        <f>SUM(OSRRefD20_1x)+IFERROR(SUM(OSRRefE20_1x),0)</f>
        <v>31598.93</v>
      </c>
    </row>
    <row r="21" spans="1:17" s="35" customFormat="1" hidden="1" outlineLevel="1" x14ac:dyDescent="0.3">
      <c r="A21" s="34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7</v>
      </c>
      <c r="F21" s="2">
        <v>7</v>
      </c>
      <c r="G21" s="2">
        <v>3111.94</v>
      </c>
      <c r="H21" s="2">
        <v>3.42</v>
      </c>
      <c r="I21" s="2">
        <v>119.71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31598.93</v>
      </c>
    </row>
    <row r="22" spans="1:17" s="35" customFormat="1" collapsed="1" x14ac:dyDescent="0.3">
      <c r="A22" s="34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SUM(OSRRefD21_2x_1)</f>
        <v>1061.02</v>
      </c>
      <c r="F22" s="1">
        <f>SUM(OSRRefD21_2x_2)</f>
        <v>1425.15</v>
      </c>
      <c r="G22" s="1">
        <f>SUM(OSRRefD21_2x_3)</f>
        <v>1435.83</v>
      </c>
      <c r="H22" s="1">
        <f>SUM(OSRRefD21_2x_4)</f>
        <v>1560.09</v>
      </c>
      <c r="I22" s="1">
        <f>SUM(OSRRefD21_2x_5)</f>
        <v>1336.68</v>
      </c>
      <c r="J22" s="1">
        <f>SUM(OSRRefE21_2x_0)</f>
        <v>2508</v>
      </c>
      <c r="K22" s="1">
        <f>SUM(OSRRefE21_2x_1)</f>
        <v>1508</v>
      </c>
      <c r="L22" s="1">
        <f>SUM(OSRRefE21_2x_2)</f>
        <v>1508</v>
      </c>
      <c r="M22" s="1">
        <f>SUM(OSRRefE21_2x_3)</f>
        <v>2508</v>
      </c>
      <c r="N22" s="1">
        <f>SUM(OSRRefE21_2x_4)</f>
        <v>1008</v>
      </c>
      <c r="O22" s="1">
        <f>SUM(OSRRefE21_2x_5)</f>
        <v>2508</v>
      </c>
      <c r="Q22" s="2">
        <f>SUM(OSRRefD20_2x)+IFERROR(SUM(OSRRefE20_2x),0)</f>
        <v>19204.510000000002</v>
      </c>
    </row>
    <row r="23" spans="1:17" s="35" customFormat="1" hidden="1" outlineLevel="1" x14ac:dyDescent="0.3">
      <c r="A23" s="34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1061.02</v>
      </c>
      <c r="F23" s="2">
        <v>1425.15</v>
      </c>
      <c r="G23" s="2">
        <v>1435.83</v>
      </c>
      <c r="H23" s="2">
        <v>1560.09</v>
      </c>
      <c r="I23" s="2">
        <v>1336.68</v>
      </c>
      <c r="J23" s="2">
        <v>2508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19204.510000000002</v>
      </c>
    </row>
    <row r="24" spans="1:17" s="35" customFormat="1" collapsed="1" x14ac:dyDescent="0.3">
      <c r="A24" s="34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SUM(OSRRefD21_3x_1)</f>
        <v>10337.75</v>
      </c>
      <c r="F24" s="1">
        <f>SUM(OSRRefD21_3x_2)</f>
        <v>0</v>
      </c>
      <c r="G24" s="1">
        <f>SUM(OSRRefD21_3x_3)</f>
        <v>10337.75</v>
      </c>
      <c r="H24" s="1">
        <f>SUM(OSRRefD21_3x_4)</f>
        <v>150</v>
      </c>
      <c r="I24" s="1">
        <f>SUM(OSRRefD21_3x_5)</f>
        <v>0</v>
      </c>
      <c r="J24" s="1">
        <f>SUM(OSRRefE21_3x_0)</f>
        <v>16000</v>
      </c>
      <c r="K24" s="1">
        <f>SUM(OSRRefE21_3x_1)</f>
        <v>0</v>
      </c>
      <c r="L24" s="1">
        <f>SUM(OSRRefE21_3x_2)</f>
        <v>8000</v>
      </c>
      <c r="M24" s="1">
        <f>SUM(OSRRefE21_3x_3)</f>
        <v>13000</v>
      </c>
      <c r="N24" s="1">
        <f>SUM(OSRRefE21_3x_4)</f>
        <v>0</v>
      </c>
      <c r="O24" s="1">
        <f>SUM(OSRRefE21_3x_5)</f>
        <v>0</v>
      </c>
      <c r="Q24" s="2">
        <f>SUM(OSRRefD20_3x)+IFERROR(SUM(OSRRefE20_3x),0)</f>
        <v>57825.5</v>
      </c>
    </row>
    <row r="25" spans="1:17" s="35" customFormat="1" hidden="1" outlineLevel="1" x14ac:dyDescent="0.3">
      <c r="A25" s="34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10337.75</v>
      </c>
      <c r="F25" s="2"/>
      <c r="G25" s="2">
        <v>10337.75</v>
      </c>
      <c r="H25" s="2">
        <v>150</v>
      </c>
      <c r="I25" s="2"/>
      <c r="J25" s="2">
        <v>13000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46825.5</v>
      </c>
    </row>
    <row r="26" spans="1:17" s="35" customFormat="1" hidden="1" outlineLevel="1" x14ac:dyDescent="0.3">
      <c r="A26" s="34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/>
      <c r="H26" s="2"/>
      <c r="I26" s="2"/>
      <c r="J26" s="2">
        <v>3000</v>
      </c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11000</v>
      </c>
    </row>
    <row r="27" spans="1:17" s="29" customFormat="1" x14ac:dyDescent="0.3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">
      <c r="A28" s="23"/>
      <c r="B28" s="16" t="s">
        <v>293</v>
      </c>
      <c r="C28" s="22"/>
      <c r="D28" s="3">
        <f t="shared" ref="D28:I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6"/>
      <c r="B30" s="17" t="s">
        <v>276</v>
      </c>
      <c r="C30" s="17"/>
      <c r="D30" s="7">
        <f t="shared" ref="D30:O30" si="5">IFERROR(+D14-D17+D28, 0)</f>
        <v>-30323.660000000003</v>
      </c>
      <c r="E30" s="7">
        <f t="shared" si="5"/>
        <v>-38380.83</v>
      </c>
      <c r="F30" s="7">
        <f t="shared" si="5"/>
        <v>-29742.210000000003</v>
      </c>
      <c r="G30" s="7">
        <f t="shared" si="5"/>
        <v>-42121.599999999999</v>
      </c>
      <c r="H30" s="7">
        <f t="shared" si="5"/>
        <v>-29097.55</v>
      </c>
      <c r="I30" s="7">
        <f t="shared" si="5"/>
        <v>-30131.45</v>
      </c>
      <c r="J30" s="7">
        <f t="shared" si="5"/>
        <v>-63508</v>
      </c>
      <c r="K30" s="7">
        <f t="shared" si="5"/>
        <v>-37508</v>
      </c>
      <c r="L30" s="7">
        <f t="shared" si="5"/>
        <v>-46508</v>
      </c>
      <c r="M30" s="7">
        <f t="shared" si="5"/>
        <v>-60508</v>
      </c>
      <c r="N30" s="7">
        <f t="shared" si="5"/>
        <v>-37008</v>
      </c>
      <c r="O30" s="7">
        <f t="shared" si="5"/>
        <v>395492</v>
      </c>
      <c r="Q30" s="7">
        <f>IFERROR(+Q14-Q17+Q28, 0)</f>
        <v>-49345.300000000017</v>
      </c>
    </row>
    <row r="31" spans="1:17" s="6" customFormat="1" x14ac:dyDescent="0.3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3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35">
      <c r="A35" s="6"/>
      <c r="B35" s="17" t="s">
        <v>124</v>
      </c>
      <c r="C35" s="17"/>
      <c r="D35" s="8">
        <f t="shared" ref="D35:O35" si="7">IFERROR(+D30-D33, 0)</f>
        <v>-30323.660000000003</v>
      </c>
      <c r="E35" s="8">
        <f t="shared" si="7"/>
        <v>-38380.83</v>
      </c>
      <c r="F35" s="8">
        <f t="shared" si="7"/>
        <v>-29742.210000000003</v>
      </c>
      <c r="G35" s="8">
        <f t="shared" si="7"/>
        <v>-42121.599999999999</v>
      </c>
      <c r="H35" s="8">
        <f t="shared" si="7"/>
        <v>-29097.55</v>
      </c>
      <c r="I35" s="8">
        <f t="shared" si="7"/>
        <v>-30131.45</v>
      </c>
      <c r="J35" s="8">
        <f t="shared" si="7"/>
        <v>-63508</v>
      </c>
      <c r="K35" s="8">
        <f t="shared" si="7"/>
        <v>-37508</v>
      </c>
      <c r="L35" s="8">
        <f t="shared" si="7"/>
        <v>-46508</v>
      </c>
      <c r="M35" s="8">
        <f t="shared" si="7"/>
        <v>-60508</v>
      </c>
      <c r="N35" s="8">
        <f t="shared" si="7"/>
        <v>-37008</v>
      </c>
      <c r="O35" s="8">
        <f t="shared" si="7"/>
        <v>395492</v>
      </c>
      <c r="Q35" s="8">
        <f>IFERROR(+Q30-Q33, 0)</f>
        <v>-49345.300000000017</v>
      </c>
    </row>
    <row r="36" spans="1:17" ht="15" thickTop="1" x14ac:dyDescent="0.3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" thickBot="1" x14ac:dyDescent="0.35">
      <c r="A39" s="6"/>
      <c r="B39" s="17" t="s">
        <v>294</v>
      </c>
      <c r="C39" s="17"/>
      <c r="D39" s="8">
        <f t="shared" ref="D39:O39" si="9">IFERROR(SUM(D35:D38), 0)</f>
        <v>-30323.660000000003</v>
      </c>
      <c r="E39" s="8">
        <f t="shared" si="9"/>
        <v>-38380.83</v>
      </c>
      <c r="F39" s="8">
        <f t="shared" si="9"/>
        <v>-29742.210000000003</v>
      </c>
      <c r="G39" s="8">
        <f t="shared" si="9"/>
        <v>-42121.599999999999</v>
      </c>
      <c r="H39" s="8">
        <f t="shared" si="9"/>
        <v>-29097.55</v>
      </c>
      <c r="I39" s="8">
        <f t="shared" si="9"/>
        <v>-30131.45</v>
      </c>
      <c r="J39" s="8">
        <f t="shared" si="9"/>
        <v>-63508</v>
      </c>
      <c r="K39" s="8">
        <f t="shared" si="9"/>
        <v>-37508</v>
      </c>
      <c r="L39" s="8">
        <f t="shared" si="9"/>
        <v>-46508</v>
      </c>
      <c r="M39" s="8">
        <f t="shared" si="9"/>
        <v>-60508</v>
      </c>
      <c r="N39" s="8">
        <f t="shared" si="9"/>
        <v>-37008</v>
      </c>
      <c r="O39" s="8">
        <f t="shared" si="9"/>
        <v>395492</v>
      </c>
      <c r="Q39" s="8">
        <f>IFERROR(SUM(Q35:Q38), 0)</f>
        <v>-49345.300000000017</v>
      </c>
    </row>
    <row r="40" spans="1:17" ht="15" thickTop="1" x14ac:dyDescent="0.3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3">
      <c r="A41" s="5"/>
      <c r="B41" s="28">
        <v>44575.850692245367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3">
      <c r="A42" s="5"/>
      <c r="B42" s="26" t="s">
        <v>54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3">
      <c r="A43" s="5"/>
      <c r="B43" s="3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  <row r="44" spans="1:17" x14ac:dyDescent="0.3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","201", " - ", "General Manager")</f>
        <v>Department 201 - General Manager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35851.090000000004</v>
      </c>
      <c r="E17" s="12">
        <f>SUM(OSRRefD20x_1)</f>
        <v>28505.439999999999</v>
      </c>
      <c r="F17" s="12">
        <f>SUM(OSRRefD20x_2)</f>
        <v>43782.289999999994</v>
      </c>
      <c r="G17" s="12">
        <f>SUM(OSRRefD20x_3)</f>
        <v>27845.48</v>
      </c>
      <c r="H17" s="12">
        <f>SUM(OSRRefD20x_4)</f>
        <v>72649.430000000008</v>
      </c>
      <c r="I17" s="12">
        <f>SUM(OSRRefD20x_5)</f>
        <v>30381.719999999998</v>
      </c>
      <c r="J17" s="12">
        <f>SUM(OSRRefE20x_0)</f>
        <v>58900.411211538492</v>
      </c>
      <c r="K17" s="12">
        <f>SUM(OSRRefE20x_1)</f>
        <v>39107.928969230808</v>
      </c>
      <c r="L17" s="12">
        <f>SUM(OSRRefE20x_2)</f>
        <v>30042.382430769179</v>
      </c>
      <c r="M17" s="12">
        <f>SUM(OSRRefE20x_3)</f>
        <v>48590.47803846153</v>
      </c>
      <c r="N17" s="12">
        <f>SUM(OSRRefE20x_4)</f>
        <v>31517.382430769179</v>
      </c>
      <c r="O17" s="12">
        <f>SUM(OSRRefE20x_5)</f>
        <v>31072.382430769179</v>
      </c>
      <c r="Q17" s="12">
        <f>SUM(OSRRefG20x)</f>
        <v>478246.41551153839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SUM(OSRRefD21_0x_1)</f>
        <v>10365.27</v>
      </c>
      <c r="F18" s="1">
        <f>SUM(OSRRefD21_0x_2)</f>
        <v>10533.919999999998</v>
      </c>
      <c r="G18" s="1">
        <f>SUM(OSRRefD21_0x_3)</f>
        <v>12891.19</v>
      </c>
      <c r="H18" s="1">
        <f>SUM(OSRRefD21_0x_4)</f>
        <v>9631.2899999999991</v>
      </c>
      <c r="I18" s="1">
        <f>SUM(OSRRefD21_0x_5)</f>
        <v>9639.56</v>
      </c>
      <c r="J18" s="1">
        <f>SUM(OSRRefE21_0x_0)</f>
        <v>12344.48813461538</v>
      </c>
      <c r="K18" s="1">
        <f>SUM(OSRRefE21_0x_1)</f>
        <v>10715.590507692315</v>
      </c>
      <c r="L18" s="1">
        <f>SUM(OSRRefE21_0x_2)</f>
        <v>8338.1208923076883</v>
      </c>
      <c r="M18" s="1">
        <f>SUM(OSRRefE21_0x_3)</f>
        <v>9495.4011153846204</v>
      </c>
      <c r="N18" s="1">
        <f>SUM(OSRRefE21_0x_4)</f>
        <v>8338.1208923076883</v>
      </c>
      <c r="O18" s="1">
        <f>SUM(OSRRefE21_0x_5)</f>
        <v>8338.1208923076883</v>
      </c>
      <c r="Q18" s="2">
        <f>SUM(OSRRefD20_0x)+IFERROR(SUM(OSRRefE20_0x),0)</f>
        <v>120854.03243461536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1454.4</v>
      </c>
      <c r="F19" s="2">
        <v>1454.4</v>
      </c>
      <c r="G19" s="2">
        <v>1411.45</v>
      </c>
      <c r="H19" s="2">
        <v>594.23</v>
      </c>
      <c r="I19" s="2">
        <v>630.71</v>
      </c>
      <c r="J19" s="2">
        <v>2438.8050576923101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17461.417357692302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245.25</v>
      </c>
      <c r="F20" s="2">
        <v>245.25</v>
      </c>
      <c r="G20" s="2">
        <v>368.36</v>
      </c>
      <c r="H20" s="2">
        <v>247.78</v>
      </c>
      <c r="I20" s="2">
        <v>246.81</v>
      </c>
      <c r="J20" s="2">
        <v>98.788653846153807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2021.7396538461535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3909.65</v>
      </c>
      <c r="F21" s="2">
        <v>4108.09</v>
      </c>
      <c r="G21" s="2">
        <v>3909.65</v>
      </c>
      <c r="H21" s="2">
        <v>3909.65</v>
      </c>
      <c r="I21" s="2">
        <v>3909.65</v>
      </c>
      <c r="J21" s="2">
        <v>4050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45192.34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49.43</v>
      </c>
      <c r="F22" s="2">
        <v>49.43</v>
      </c>
      <c r="G22" s="2">
        <v>74.239999999999995</v>
      </c>
      <c r="H22" s="2">
        <v>49.94</v>
      </c>
      <c r="I22" s="2">
        <v>49.74</v>
      </c>
      <c r="J22" s="2">
        <v>66.921346153846102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609.25234615384602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2020.98</v>
      </c>
      <c r="F23" s="2">
        <v>2020.98</v>
      </c>
      <c r="G23" s="2">
        <v>3031.48</v>
      </c>
      <c r="H23" s="2">
        <v>2042.29</v>
      </c>
      <c r="I23" s="2">
        <v>2042.29</v>
      </c>
      <c r="J23" s="2">
        <v>2740.5884615384598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24941.848461538459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1674.78</v>
      </c>
      <c r="I25" s="2">
        <v>1674.78</v>
      </c>
      <c r="J25" s="2">
        <v>1593.36538461538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17653.835384615388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856.8</v>
      </c>
      <c r="F26" s="2">
        <v>856.8</v>
      </c>
      <c r="G26" s="2">
        <v>1285.2</v>
      </c>
      <c r="H26" s="2">
        <v>865.82</v>
      </c>
      <c r="I26" s="2">
        <v>865.82</v>
      </c>
      <c r="J26" s="2">
        <v>956.01923076923094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9690.5592307692314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169.78</v>
      </c>
      <c r="F27" s="2">
        <v>139.99</v>
      </c>
      <c r="G27" s="2">
        <v>322.33999999999997</v>
      </c>
      <c r="H27" s="2">
        <v>246.8</v>
      </c>
      <c r="I27" s="2">
        <v>219.76</v>
      </c>
      <c r="J27" s="2">
        <v>400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3283.04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SUM(OSRRefD21_1x_1)</f>
        <v>13464.2</v>
      </c>
      <c r="F28" s="1">
        <f>SUM(OSRRefD21_1x_2)</f>
        <v>15617.07</v>
      </c>
      <c r="G28" s="1">
        <f>SUM(OSRRefD21_1x_3)</f>
        <v>-7867.31</v>
      </c>
      <c r="H28" s="1">
        <f>SUM(OSRRefD21_1x_4)</f>
        <v>17100.900000000001</v>
      </c>
      <c r="I28" s="1">
        <f>SUM(OSRRefD21_1x_5)</f>
        <v>17589.43</v>
      </c>
      <c r="J28" s="1">
        <f>SUM(OSRRefE21_1x_0)</f>
        <v>29317.923076923111</v>
      </c>
      <c r="K28" s="1">
        <f>SUM(OSRRefE21_1x_1)</f>
        <v>23454.338461538489</v>
      </c>
      <c r="L28" s="1">
        <f>SUM(OSRRefE21_1x_2)</f>
        <v>17191.261538461491</v>
      </c>
      <c r="M28" s="1">
        <f>SUM(OSRRefE21_1x_3)</f>
        <v>21489.076923076907</v>
      </c>
      <c r="N28" s="1">
        <f>SUM(OSRRefE21_1x_4)</f>
        <v>17191.261538461491</v>
      </c>
      <c r="O28" s="1">
        <f>SUM(OSRRefE21_1x_5)</f>
        <v>17191.261538461491</v>
      </c>
      <c r="Q28" s="2">
        <f>SUM(OSRRefD20_1x)+IFERROR(SUM(OSRRefE20_1x),0)</f>
        <v>203512.11307692301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10036.66</v>
      </c>
      <c r="F29" s="2">
        <v>10720.59</v>
      </c>
      <c r="G29" s="2">
        <v>-13988.03</v>
      </c>
      <c r="H29" s="2">
        <v>12772.41</v>
      </c>
      <c r="I29" s="2">
        <v>13456.34</v>
      </c>
      <c r="J29" s="2">
        <v>23486.538461538501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145386.233076923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3427.54</v>
      </c>
      <c r="F30" s="2">
        <v>4896.4799999999996</v>
      </c>
      <c r="G30" s="2">
        <v>6120.72</v>
      </c>
      <c r="H30" s="2">
        <v>4328.49</v>
      </c>
      <c r="I30" s="2">
        <v>4073.87</v>
      </c>
      <c r="J30" s="2">
        <v>5831.3846153846098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58066.659999999974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>
        <v>59.22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59.22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129.18</v>
      </c>
      <c r="F39" s="1">
        <f>SUM(OSRRefD21_2x_2)</f>
        <v>57.24</v>
      </c>
      <c r="G39" s="1">
        <f>SUM(OSRRefD21_2x_3)</f>
        <v>0</v>
      </c>
      <c r="H39" s="1">
        <f>SUM(OSRRefD21_2x_4)</f>
        <v>0</v>
      </c>
      <c r="I39" s="1">
        <f>SUM(OSRRefD21_2x_5)</f>
        <v>1780.99</v>
      </c>
      <c r="J39" s="1">
        <f>SUM(OSRRefE21_2x_0)</f>
        <v>250</v>
      </c>
      <c r="K39" s="1">
        <f>SUM(OSRRefE21_2x_1)</f>
        <v>250</v>
      </c>
      <c r="L39" s="1">
        <f>SUM(OSRRefE21_2x_2)</f>
        <v>250</v>
      </c>
      <c r="M39" s="1">
        <f>SUM(OSRRefE21_2x_3)</f>
        <v>250</v>
      </c>
      <c r="N39" s="1">
        <f>SUM(OSRRefE21_2x_4)</f>
        <v>250</v>
      </c>
      <c r="O39" s="1">
        <f>SUM(OSRRefE21_2x_5)</f>
        <v>250</v>
      </c>
      <c r="Q39" s="2">
        <f>SUM(OSRRefD20_2x)+IFERROR(SUM(OSRRefE20_2x),0)</f>
        <v>3467.41</v>
      </c>
    </row>
    <row r="40" spans="1:17" s="35" customFormat="1" hidden="1" outlineLevel="1" x14ac:dyDescent="0.3">
      <c r="A40" s="34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129.18</v>
      </c>
      <c r="F40" s="2">
        <v>57.24</v>
      </c>
      <c r="G40" s="2"/>
      <c r="H40" s="2"/>
      <c r="I40" s="2">
        <v>1780.99</v>
      </c>
      <c r="J40" s="2">
        <v>250</v>
      </c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3467.41</v>
      </c>
    </row>
    <row r="41" spans="1:17" s="35" customFormat="1" collapsed="1" x14ac:dyDescent="0.3">
      <c r="A41" s="34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SUM(OSRRefE21_3x_0)</f>
        <v>315</v>
      </c>
      <c r="K41" s="1">
        <f>SUM(OSRRefE21_3x_1)</f>
        <v>315</v>
      </c>
      <c r="L41" s="1">
        <f>SUM(OSRRefE21_3x_2)</f>
        <v>315</v>
      </c>
      <c r="M41" s="1">
        <f>SUM(OSRRefE21_3x_3)</f>
        <v>315</v>
      </c>
      <c r="N41" s="1">
        <f>SUM(OSRRefE21_3x_4)</f>
        <v>315</v>
      </c>
      <c r="O41" s="1">
        <f>SUM(OSRRefE21_3x_5)</f>
        <v>315</v>
      </c>
      <c r="Q41" s="2">
        <f>SUM(OSRRefD20_3x)+IFERROR(SUM(OSRRefE20_3x),0)</f>
        <v>3779.22</v>
      </c>
    </row>
    <row r="42" spans="1:17" s="35" customFormat="1" hidden="1" outlineLevel="1" x14ac:dyDescent="0.3">
      <c r="A42" s="34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3779.22</v>
      </c>
    </row>
    <row r="43" spans="1:17" s="35" customFormat="1" collapsed="1" x14ac:dyDescent="0.3">
      <c r="A43" s="34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25000</v>
      </c>
      <c r="I43" s="1">
        <f>SUM(OSRRefD21_4x_5)</f>
        <v>300</v>
      </c>
      <c r="J43" s="1">
        <f>SUM(OSRRefE21_4x_0)</f>
        <v>10000</v>
      </c>
      <c r="K43" s="1">
        <f>SUM(OSRRefE21_4x_1)</f>
        <v>500</v>
      </c>
      <c r="L43" s="1">
        <f>SUM(OSRRefE21_4x_2)</f>
        <v>500</v>
      </c>
      <c r="M43" s="1">
        <f>SUM(OSRRefE21_4x_3)</f>
        <v>10000</v>
      </c>
      <c r="N43" s="1">
        <f>SUM(OSRRefE21_4x_4)</f>
        <v>500</v>
      </c>
      <c r="O43" s="1">
        <f>SUM(OSRRefE21_4x_5)</f>
        <v>300</v>
      </c>
      <c r="Q43" s="2">
        <f>SUM(OSRRefD20_4x)+IFERROR(SUM(OSRRefE20_4x),0)</f>
        <v>47100</v>
      </c>
    </row>
    <row r="44" spans="1:17" s="35" customFormat="1" hidden="1" outlineLevel="1" x14ac:dyDescent="0.3">
      <c r="A44" s="34"/>
      <c r="B44" s="10" t="str">
        <f>CONCATENATE("          ","6399", " - ","DONATION-ON CAMPUS")</f>
        <v xml:space="preserve">          6399 - DONATION-ON CAMPUS</v>
      </c>
      <c r="C44" s="14"/>
      <c r="D44" s="2"/>
      <c r="E44" s="2"/>
      <c r="F44" s="2"/>
      <c r="G44" s="2"/>
      <c r="H44" s="2">
        <v>25000</v>
      </c>
      <c r="I44" s="2">
        <v>300</v>
      </c>
      <c r="J44" s="2">
        <v>10000</v>
      </c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47100</v>
      </c>
    </row>
    <row r="45" spans="1:17" s="35" customFormat="1" collapsed="1" x14ac:dyDescent="0.3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SUM(OSRRefE21_5x_0)</f>
        <v>0</v>
      </c>
      <c r="K45" s="1">
        <f>SUM(OSRRefE21_5x_1)</f>
        <v>0</v>
      </c>
      <c r="L45" s="1">
        <f>SUM(OSRRefE21_5x_2)</f>
        <v>0</v>
      </c>
      <c r="M45" s="1">
        <f>SUM(OSRRefE21_5x_3)</f>
        <v>0</v>
      </c>
      <c r="N45" s="1">
        <f>SUM(OSRRefE21_5x_4)</f>
        <v>0</v>
      </c>
      <c r="O45" s="1">
        <f>SUM(OSRRefE21_5x_5)</f>
        <v>2000</v>
      </c>
      <c r="Q45" s="2">
        <f>SUM(OSRRefD20_5x)+IFERROR(SUM(OSRRefE20_5x),0)</f>
        <v>2000</v>
      </c>
    </row>
    <row r="46" spans="1:17" s="35" customFormat="1" hidden="1" outlineLevel="1" x14ac:dyDescent="0.3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2000</v>
      </c>
    </row>
    <row r="47" spans="1:17" s="35" customFormat="1" collapsed="1" x14ac:dyDescent="0.3">
      <c r="A47" s="34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SUM(OSRRefD21_6x_4)</f>
        <v>117.71</v>
      </c>
      <c r="I47" s="1">
        <f>SUM(OSRRefD21_6x_5)</f>
        <v>117.71</v>
      </c>
      <c r="J47" s="1">
        <f>SUM(OSRRefE21_6x_0)</f>
        <v>118</v>
      </c>
      <c r="K47" s="1">
        <f>SUM(OSRRefE21_6x_1)</f>
        <v>118</v>
      </c>
      <c r="L47" s="1">
        <f>SUM(OSRRefE21_6x_2)</f>
        <v>118</v>
      </c>
      <c r="M47" s="1">
        <f>SUM(OSRRefE21_6x_3)</f>
        <v>118</v>
      </c>
      <c r="N47" s="1">
        <f>SUM(OSRRefE21_6x_4)</f>
        <v>118</v>
      </c>
      <c r="O47" s="1">
        <f>SUM(OSRRefE21_6x_5)</f>
        <v>118</v>
      </c>
      <c r="Q47" s="2">
        <f>SUM(OSRRefD20_6x)+IFERROR(SUM(OSRRefE20_6x),0)</f>
        <v>1414.26</v>
      </c>
    </row>
    <row r="48" spans="1:17" s="35" customFormat="1" hidden="1" outlineLevel="1" x14ac:dyDescent="0.3">
      <c r="A48" s="34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117.71</v>
      </c>
      <c r="F48" s="2">
        <v>117.71</v>
      </c>
      <c r="G48" s="2">
        <v>117.71</v>
      </c>
      <c r="H48" s="2">
        <v>117.71</v>
      </c>
      <c r="I48" s="2">
        <v>117.71</v>
      </c>
      <c r="J48" s="2">
        <v>118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1414.26</v>
      </c>
    </row>
    <row r="49" spans="1:17" s="35" customFormat="1" collapsed="1" x14ac:dyDescent="0.3">
      <c r="A49" s="34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SUM(OSRRefD21_7x_1)</f>
        <v>0</v>
      </c>
      <c r="F49" s="1">
        <f>SUM(OSRRefD21_7x_2)</f>
        <v>6.97</v>
      </c>
      <c r="G49" s="1">
        <f>SUM(OSRRefD21_7x_3)</f>
        <v>0</v>
      </c>
      <c r="H49" s="1">
        <f>SUM(OSRRefD21_7x_4)</f>
        <v>9.67</v>
      </c>
      <c r="I49" s="1">
        <f>SUM(OSRRefD21_7x_5)</f>
        <v>0</v>
      </c>
      <c r="J49" s="1">
        <f>SUM(OSRRefE21_7x_0)</f>
        <v>25</v>
      </c>
      <c r="K49" s="1">
        <f>SUM(OSRRefE21_7x_1)</f>
        <v>25</v>
      </c>
      <c r="L49" s="1">
        <f>SUM(OSRRefE21_7x_2)</f>
        <v>100</v>
      </c>
      <c r="M49" s="1">
        <f>SUM(OSRRefE21_7x_3)</f>
        <v>25</v>
      </c>
      <c r="N49" s="1">
        <f>SUM(OSRRefE21_7x_4)</f>
        <v>25</v>
      </c>
      <c r="O49" s="1">
        <f>SUM(OSRRefE21_7x_5)</f>
        <v>100</v>
      </c>
      <c r="Q49" s="2">
        <f>SUM(OSRRefD20_7x)+IFERROR(SUM(OSRRefE20_7x),0)</f>
        <v>329.52</v>
      </c>
    </row>
    <row r="50" spans="1:17" s="35" customFormat="1" hidden="1" outlineLevel="1" x14ac:dyDescent="0.3">
      <c r="A50" s="34"/>
      <c r="B50" s="10" t="str">
        <f>CONCATENATE("          ","6307", " - ","POSTAGE")</f>
        <v xml:space="preserve">          6307 - POSTAGE</v>
      </c>
      <c r="C50" s="14"/>
      <c r="D50" s="2">
        <v>12.88</v>
      </c>
      <c r="E50" s="2"/>
      <c r="F50" s="2">
        <v>6.97</v>
      </c>
      <c r="G50" s="2"/>
      <c r="H50" s="2">
        <v>9.67</v>
      </c>
      <c r="I50" s="2"/>
      <c r="J50" s="2">
        <v>25</v>
      </c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329.52</v>
      </c>
    </row>
    <row r="51" spans="1:17" s="35" customFormat="1" collapsed="1" x14ac:dyDescent="0.3">
      <c r="A51" s="34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SUM(OSRRefD21_8x_1)</f>
        <v>156.47999999999999</v>
      </c>
      <c r="F51" s="1">
        <f>SUM(OSRRefD21_8x_2)</f>
        <v>156.47999999999999</v>
      </c>
      <c r="G51" s="1">
        <f>SUM(OSRRefD21_8x_3)</f>
        <v>156.47999999999999</v>
      </c>
      <c r="H51" s="1">
        <f>SUM(OSRRefD21_8x_4)</f>
        <v>156.47999999999999</v>
      </c>
      <c r="I51" s="1">
        <f>SUM(OSRRefD21_8x_5)</f>
        <v>156.47999999999999</v>
      </c>
      <c r="J51" s="1">
        <f>SUM(OSRRefE21_8x_0)</f>
        <v>150</v>
      </c>
      <c r="K51" s="1">
        <f>SUM(OSRRefE21_8x_1)</f>
        <v>150</v>
      </c>
      <c r="L51" s="1">
        <f>SUM(OSRRefE21_8x_2)</f>
        <v>150</v>
      </c>
      <c r="M51" s="1">
        <f>SUM(OSRRefE21_8x_3)</f>
        <v>150</v>
      </c>
      <c r="N51" s="1">
        <f>SUM(OSRRefE21_8x_4)</f>
        <v>150</v>
      </c>
      <c r="O51" s="1">
        <f>SUM(OSRRefE21_8x_5)</f>
        <v>150</v>
      </c>
      <c r="Q51" s="2">
        <f>SUM(OSRRefD20_8x)+IFERROR(SUM(OSRRefE20_8x),0)</f>
        <v>1838.88</v>
      </c>
    </row>
    <row r="52" spans="1:17" s="35" customFormat="1" hidden="1" outlineLevel="1" x14ac:dyDescent="0.3">
      <c r="A52" s="34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156.47999999999999</v>
      </c>
      <c r="F52" s="2">
        <v>156.47999999999999</v>
      </c>
      <c r="G52" s="2">
        <v>156.47999999999999</v>
      </c>
      <c r="H52" s="2">
        <v>156.47999999999999</v>
      </c>
      <c r="I52" s="2">
        <v>156.47999999999999</v>
      </c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1838.88</v>
      </c>
    </row>
    <row r="53" spans="1:17" s="35" customFormat="1" collapsed="1" x14ac:dyDescent="0.3">
      <c r="A53" s="34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SUM(OSRRefD21_9x_1)</f>
        <v>0</v>
      </c>
      <c r="F53" s="1">
        <f>SUM(OSRRefD21_9x_2)</f>
        <v>16500</v>
      </c>
      <c r="G53" s="1">
        <f>SUM(OSRRefD21_9x_3)</f>
        <v>18825</v>
      </c>
      <c r="H53" s="1">
        <f>SUM(OSRRefD21_9x_4)</f>
        <v>16550</v>
      </c>
      <c r="I53" s="1">
        <f>SUM(OSRRefD21_9x_5)</f>
        <v>0</v>
      </c>
      <c r="J53" s="1">
        <f>SUM(OSRRefE21_9x_0)</f>
        <v>2000</v>
      </c>
      <c r="K53" s="1">
        <f>SUM(OSRRefE21_9x_1)</f>
        <v>0</v>
      </c>
      <c r="L53" s="1">
        <f>SUM(OSRRefE21_9x_2)</f>
        <v>1000</v>
      </c>
      <c r="M53" s="1">
        <f>SUM(OSRRefE21_9x_3)</f>
        <v>0</v>
      </c>
      <c r="N53" s="1">
        <f>SUM(OSRRefE21_9x_4)</f>
        <v>1000</v>
      </c>
      <c r="O53" s="1">
        <f>SUM(OSRRefE21_9x_5)</f>
        <v>0</v>
      </c>
      <c r="Q53" s="2">
        <f>SUM(OSRRefD20_9x)+IFERROR(SUM(OSRRefE20_9x),0)</f>
        <v>55875</v>
      </c>
    </row>
    <row r="54" spans="1:17" s="35" customFormat="1" hidden="1" outlineLevel="1" x14ac:dyDescent="0.3">
      <c r="A54" s="34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16500</v>
      </c>
      <c r="G54" s="2">
        <v>18750</v>
      </c>
      <c r="H54" s="2">
        <v>13100</v>
      </c>
      <c r="I54" s="2"/>
      <c r="J54" s="2">
        <v>2000</v>
      </c>
      <c r="K54" s="2"/>
      <c r="L54" s="2"/>
      <c r="M54" s="2"/>
      <c r="N54" s="2"/>
      <c r="O54" s="2"/>
      <c r="P54" s="9"/>
      <c r="Q54" s="2">
        <f>SUM(OSRRefD21_9_0x)+IFERROR(SUM(OSRRefE21_9_0x),0)</f>
        <v>50350</v>
      </c>
    </row>
    <row r="55" spans="1:17" s="35" customFormat="1" hidden="1" outlineLevel="1" x14ac:dyDescent="0.3">
      <c r="A55" s="34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/>
      <c r="G55" s="2">
        <v>75</v>
      </c>
      <c r="H55" s="2">
        <v>125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2200</v>
      </c>
    </row>
    <row r="56" spans="1:17" s="35" customFormat="1" hidden="1" outlineLevel="1" x14ac:dyDescent="0.3">
      <c r="A56" s="34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3325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3325</v>
      </c>
    </row>
    <row r="57" spans="1:17" s="35" customFormat="1" collapsed="1" x14ac:dyDescent="0.3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SUM(OSRRefD21_10x_1)</f>
        <v>2662.99</v>
      </c>
      <c r="F57" s="1">
        <f>SUM(OSRRefD21_10x_2)</f>
        <v>50</v>
      </c>
      <c r="G57" s="1">
        <f>SUM(OSRRefD21_10x_3)</f>
        <v>2699.47</v>
      </c>
      <c r="H57" s="1">
        <f>SUM(OSRRefD21_10x_4)</f>
        <v>2616.94</v>
      </c>
      <c r="I57" s="1">
        <f>SUM(OSRRefD21_10x_5)</f>
        <v>93.74</v>
      </c>
      <c r="J57" s="1">
        <f>SUM(OSRRefE21_10x_0)</f>
        <v>1530</v>
      </c>
      <c r="K57" s="1">
        <f>SUM(OSRRefE21_10x_1)</f>
        <v>1530</v>
      </c>
      <c r="L57" s="1">
        <f>SUM(OSRRefE21_10x_2)</f>
        <v>1530</v>
      </c>
      <c r="M57" s="1">
        <f>SUM(OSRRefE21_10x_3)</f>
        <v>1530</v>
      </c>
      <c r="N57" s="1">
        <f>SUM(OSRRefE21_10x_4)</f>
        <v>1530</v>
      </c>
      <c r="O57" s="1">
        <f>SUM(OSRRefE21_10x_5)</f>
        <v>1530</v>
      </c>
      <c r="Q57" s="2">
        <f>SUM(OSRRefD20_10x)+IFERROR(SUM(OSRRefE20_10x),0)</f>
        <v>19895.32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2565</v>
      </c>
      <c r="F58" s="2">
        <v>50</v>
      </c>
      <c r="G58" s="2">
        <v>2699.47</v>
      </c>
      <c r="H58" s="2">
        <v>2616.94</v>
      </c>
      <c r="I58" s="2">
        <v>93.74</v>
      </c>
      <c r="J58" s="2">
        <v>1530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19797.330000000002</v>
      </c>
    </row>
    <row r="59" spans="1:17" s="35" customFormat="1" hidden="1" outlineLevel="1" x14ac:dyDescent="0.3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/>
      <c r="E59" s="2">
        <v>97.99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SUM(OSRRefD21_10_1x)+IFERROR(SUM(OSRRefE21_10_1x),0)</f>
        <v>97.99</v>
      </c>
    </row>
    <row r="60" spans="1:17" s="35" customFormat="1" collapsed="1" x14ac:dyDescent="0.3">
      <c r="A60" s="34"/>
      <c r="B60" s="14" t="str">
        <f>CONCATENATE("     ","Subscriptions &amp; Dues                              ")</f>
        <v xml:space="preserve">     Subscriptions &amp; Dues                              </v>
      </c>
      <c r="C60" s="14"/>
      <c r="D60" s="1">
        <f>SUM(OSRRefD21_11x_0)</f>
        <v>0</v>
      </c>
      <c r="E60" s="1">
        <f>SUM(OSRRefD21_11x_1)</f>
        <v>1000</v>
      </c>
      <c r="F60" s="1">
        <f>SUM(OSRRefD21_11x_2)</f>
        <v>0</v>
      </c>
      <c r="G60" s="1">
        <f>SUM(OSRRefD21_11x_3)</f>
        <v>0</v>
      </c>
      <c r="H60" s="1">
        <f>SUM(OSRRefD21_11x_4)</f>
        <v>0</v>
      </c>
      <c r="I60" s="1">
        <f>SUM(OSRRefD21_11x_5)</f>
        <v>0</v>
      </c>
      <c r="J60" s="1">
        <f>SUM(OSRRefE21_11x_0)</f>
        <v>0</v>
      </c>
      <c r="K60" s="1">
        <f>SUM(OSRRefE21_11x_1)</f>
        <v>0</v>
      </c>
      <c r="L60" s="1">
        <f>SUM(OSRRefE21_11x_2)</f>
        <v>0</v>
      </c>
      <c r="M60" s="1">
        <f>SUM(OSRRefE21_11x_3)</f>
        <v>4668</v>
      </c>
      <c r="N60" s="1">
        <f>SUM(OSRRefE21_11x_4)</f>
        <v>1550</v>
      </c>
      <c r="O60" s="1">
        <f>SUM(OSRRefE21_11x_5)</f>
        <v>230</v>
      </c>
      <c r="Q60" s="2">
        <f>SUM(OSRRefD20_11x)+IFERROR(SUM(OSRRefE20_11x),0)</f>
        <v>7448</v>
      </c>
    </row>
    <row r="61" spans="1:17" s="35" customFormat="1" hidden="1" outlineLevel="1" x14ac:dyDescent="0.3">
      <c r="A61" s="34"/>
      <c r="B61" s="10" t="str">
        <f>CONCATENATE("          ","6258", " - ","MEMBERSHIP DUES")</f>
        <v xml:space="preserve">          6258 - MEMBERSHIP DUES</v>
      </c>
      <c r="C61" s="14"/>
      <c r="D61" s="2"/>
      <c r="E61" s="2">
        <v>1000</v>
      </c>
      <c r="F61" s="2"/>
      <c r="G61" s="2"/>
      <c r="H61" s="2"/>
      <c r="I61" s="2"/>
      <c r="J61" s="2"/>
      <c r="K61" s="2"/>
      <c r="L61" s="2"/>
      <c r="M61" s="2">
        <v>4668</v>
      </c>
      <c r="N61" s="2">
        <v>1550</v>
      </c>
      <c r="O61" s="2">
        <v>230</v>
      </c>
      <c r="P61" s="9"/>
      <c r="Q61" s="2">
        <f>SUM(OSRRefD21_11_0x)+IFERROR(SUM(OSRRefE21_11_0x),0)</f>
        <v>7448</v>
      </c>
    </row>
    <row r="62" spans="1:17" s="35" customFormat="1" collapsed="1" x14ac:dyDescent="0.3">
      <c r="A62" s="34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SUM(OSRRefD21_12x_0)</f>
        <v>6.05</v>
      </c>
      <c r="E62" s="1">
        <f>SUM(OSRRefD21_12x_1)</f>
        <v>19.84</v>
      </c>
      <c r="F62" s="1">
        <f>SUM(OSRRefD21_12x_2)</f>
        <v>0</v>
      </c>
      <c r="G62" s="1">
        <f>SUM(OSRRefD21_12x_3)</f>
        <v>196.39</v>
      </c>
      <c r="H62" s="1">
        <f>SUM(OSRRefD21_12x_4)</f>
        <v>119.88</v>
      </c>
      <c r="I62" s="1">
        <f>SUM(OSRRefD21_12x_5)</f>
        <v>27.3</v>
      </c>
      <c r="J62" s="1">
        <f>SUM(OSRRefE21_12x_0)</f>
        <v>125</v>
      </c>
      <c r="K62" s="1">
        <f>SUM(OSRRefE21_12x_1)</f>
        <v>125</v>
      </c>
      <c r="L62" s="1">
        <f>SUM(OSRRefE21_12x_2)</f>
        <v>125</v>
      </c>
      <c r="M62" s="1">
        <f>SUM(OSRRefE21_12x_3)</f>
        <v>125</v>
      </c>
      <c r="N62" s="1">
        <f>SUM(OSRRefE21_12x_4)</f>
        <v>125</v>
      </c>
      <c r="O62" s="1">
        <f>SUM(OSRRefE21_12x_5)</f>
        <v>125</v>
      </c>
      <c r="Q62" s="2">
        <f>SUM(OSRRefD20_12x)+IFERROR(SUM(OSRRefE20_12x),0)</f>
        <v>1119.46</v>
      </c>
    </row>
    <row r="63" spans="1:17" s="35" customFormat="1" hidden="1" outlineLevel="1" x14ac:dyDescent="0.3">
      <c r="A63" s="34"/>
      <c r="B63" s="10" t="str">
        <f>CONCATENATE("          ","6234", " - ","EXPENDABLE SUPPLIES &amp; EQUIPMEN")</f>
        <v xml:space="preserve">          6234 - EXPENDABLE SUPPLIES &amp; EQUIPMEN</v>
      </c>
      <c r="C63" s="14"/>
      <c r="D63" s="2"/>
      <c r="E63" s="2"/>
      <c r="F63" s="2"/>
      <c r="G63" s="2"/>
      <c r="H63" s="2"/>
      <c r="I63" s="2"/>
      <c r="J63" s="2">
        <v>125</v>
      </c>
      <c r="K63" s="2">
        <v>125</v>
      </c>
      <c r="L63" s="2">
        <v>125</v>
      </c>
      <c r="M63" s="2">
        <v>125</v>
      </c>
      <c r="N63" s="2">
        <v>125</v>
      </c>
      <c r="O63" s="2">
        <v>125</v>
      </c>
      <c r="P63" s="9"/>
      <c r="Q63" s="2">
        <f>SUM(OSRRefD21_12_0x)+IFERROR(SUM(OSRRefE21_12_0x),0)</f>
        <v>750</v>
      </c>
    </row>
    <row r="64" spans="1:17" s="35" customFormat="1" hidden="1" outlineLevel="1" x14ac:dyDescent="0.3">
      <c r="A64" s="34"/>
      <c r="B64" s="10" t="str">
        <f>CONCATENATE("          ","6241", " - ","OFFICE EXPENSE")</f>
        <v xml:space="preserve">          6241 - OFFICE EXPENSE</v>
      </c>
      <c r="C64" s="14"/>
      <c r="D64" s="2">
        <v>6.05</v>
      </c>
      <c r="E64" s="2">
        <v>19.84</v>
      </c>
      <c r="F64" s="2"/>
      <c r="G64" s="2">
        <v>196.39</v>
      </c>
      <c r="H64" s="2">
        <v>119.88</v>
      </c>
      <c r="I64" s="2">
        <v>27.3</v>
      </c>
      <c r="J64" s="2"/>
      <c r="K64" s="2"/>
      <c r="L64" s="2"/>
      <c r="M64" s="2"/>
      <c r="N64" s="2"/>
      <c r="O64" s="2"/>
      <c r="P64" s="9"/>
      <c r="Q64" s="2">
        <f>SUM(OSRRefD21_12_1x)+IFERROR(SUM(OSRRefE21_12_1x),0)</f>
        <v>369.46</v>
      </c>
    </row>
    <row r="65" spans="1:17" s="35" customFormat="1" collapsed="1" x14ac:dyDescent="0.3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SUM(OSRRefD21_13x_0)</f>
        <v>655.26</v>
      </c>
      <c r="E65" s="1">
        <f>SUM(OSRRefD21_13x_1)</f>
        <v>274.89999999999998</v>
      </c>
      <c r="F65" s="1">
        <f>SUM(OSRRefD21_13x_2)</f>
        <v>428.03</v>
      </c>
      <c r="G65" s="1">
        <f>SUM(OSRRefD21_13x_3)</f>
        <v>511.68</v>
      </c>
      <c r="H65" s="1">
        <f>SUM(OSRRefD21_13x_4)</f>
        <v>436.69</v>
      </c>
      <c r="I65" s="1">
        <f>SUM(OSRRefD21_13x_5)</f>
        <v>361.64</v>
      </c>
      <c r="J65" s="1">
        <f>SUM(OSRRefE21_13x_0)</f>
        <v>425</v>
      </c>
      <c r="K65" s="1">
        <f>SUM(OSRRefE21_13x_1)</f>
        <v>425</v>
      </c>
      <c r="L65" s="1">
        <f>SUM(OSRRefE21_13x_2)</f>
        <v>425</v>
      </c>
      <c r="M65" s="1">
        <f>SUM(OSRRefE21_13x_3)</f>
        <v>425</v>
      </c>
      <c r="N65" s="1">
        <f>SUM(OSRRefE21_13x_4)</f>
        <v>425</v>
      </c>
      <c r="O65" s="1">
        <f>SUM(OSRRefE21_13x_5)</f>
        <v>425</v>
      </c>
      <c r="Q65" s="2">
        <f>SUM(OSRRefD20_13x)+IFERROR(SUM(OSRRefE20_13x),0)</f>
        <v>5218.2</v>
      </c>
    </row>
    <row r="66" spans="1:17" s="35" customFormat="1" hidden="1" outlineLevel="1" x14ac:dyDescent="0.3">
      <c r="A66" s="34"/>
      <c r="B66" s="10" t="str">
        <f>CONCATENATE("          ","6309", " - ","TELEPHONE")</f>
        <v xml:space="preserve">          6309 - TELEPHONE</v>
      </c>
      <c r="C66" s="14"/>
      <c r="D66" s="2">
        <v>655.26</v>
      </c>
      <c r="E66" s="2">
        <v>274.89999999999998</v>
      </c>
      <c r="F66" s="2">
        <v>428.03</v>
      </c>
      <c r="G66" s="2">
        <v>511.68</v>
      </c>
      <c r="H66" s="2">
        <v>436.69</v>
      </c>
      <c r="I66" s="2">
        <v>361.64</v>
      </c>
      <c r="J66" s="2">
        <v>425</v>
      </c>
      <c r="K66" s="2">
        <v>425</v>
      </c>
      <c r="L66" s="2">
        <v>425</v>
      </c>
      <c r="M66" s="2">
        <v>425</v>
      </c>
      <c r="N66" s="2">
        <v>425</v>
      </c>
      <c r="O66" s="2">
        <v>425</v>
      </c>
      <c r="P66" s="9"/>
      <c r="Q66" s="2">
        <f>SUM(OSRRefD21_13_0x)+IFERROR(SUM(OSRRefE21_13_0x),0)</f>
        <v>5218.2</v>
      </c>
    </row>
    <row r="67" spans="1:17" s="35" customFormat="1" collapsed="1" x14ac:dyDescent="0.3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SUM(OSRRefD21_14x_0)</f>
        <v>0</v>
      </c>
      <c r="E67" s="1">
        <f>SUM(OSRRefD21_14x_1)</f>
        <v>0</v>
      </c>
      <c r="F67" s="1">
        <f>SUM(OSRRefD21_14x_2)</f>
        <v>0</v>
      </c>
      <c r="G67" s="1">
        <f>SUM(OSRRefD21_14x_3)</f>
        <v>0</v>
      </c>
      <c r="H67" s="1">
        <f>SUM(OSRRefD21_14x_4)</f>
        <v>595</v>
      </c>
      <c r="I67" s="1">
        <f>SUM(OSRRefD21_14x_5)</f>
        <v>0</v>
      </c>
      <c r="J67" s="1">
        <f>SUM(OSRRefE21_14x_0)</f>
        <v>2300</v>
      </c>
      <c r="K67" s="1">
        <f>SUM(OSRRefE21_14x_1)</f>
        <v>1500</v>
      </c>
      <c r="L67" s="1">
        <f>SUM(OSRRefE21_14x_2)</f>
        <v>0</v>
      </c>
      <c r="M67" s="1">
        <f>SUM(OSRRefE21_14x_3)</f>
        <v>0</v>
      </c>
      <c r="N67" s="1">
        <f>SUM(OSRRefE21_14x_4)</f>
        <v>0</v>
      </c>
      <c r="O67" s="1">
        <f>SUM(OSRRefE21_14x_5)</f>
        <v>0</v>
      </c>
      <c r="Q67" s="2">
        <f>SUM(OSRRefD20_14x)+IFERROR(SUM(OSRRefE20_14x),0)</f>
        <v>4395</v>
      </c>
    </row>
    <row r="68" spans="1:17" s="35" customFormat="1" hidden="1" outlineLevel="1" x14ac:dyDescent="0.3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/>
      <c r="H68" s="2">
        <v>595</v>
      </c>
      <c r="I68" s="2"/>
      <c r="J68" s="2">
        <v>2300</v>
      </c>
      <c r="K68" s="2">
        <v>1500</v>
      </c>
      <c r="L68" s="2"/>
      <c r="M68" s="2"/>
      <c r="N68" s="2"/>
      <c r="O68" s="2"/>
      <c r="P68" s="9"/>
      <c r="Q68" s="2">
        <f>SUM(OSRRefD21_14_0x)+IFERROR(SUM(OSRRefE21_14_0x),0)</f>
        <v>4395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I70" si="4">0</f>
        <v>0</v>
      </c>
      <c r="E70" s="3">
        <f t="shared" si="4"/>
        <v>0</v>
      </c>
      <c r="F70" s="3">
        <f t="shared" si="4"/>
        <v>0</v>
      </c>
      <c r="G70" s="3">
        <f t="shared" si="4"/>
        <v>0</v>
      </c>
      <c r="H70" s="3">
        <f t="shared" si="4"/>
        <v>0</v>
      </c>
      <c r="I70" s="3">
        <f t="shared" si="4"/>
        <v>0</v>
      </c>
      <c r="J70" s="3"/>
      <c r="K70" s="3"/>
      <c r="L70" s="3"/>
      <c r="M70" s="3"/>
      <c r="N70" s="3"/>
      <c r="O70" s="3"/>
      <c r="Q70" s="2">
        <f>SUM(OSRRefD23_0x)+IFERROR(SUM(OSRRefE23_0x),0)</f>
        <v>0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5">IFERROR(+D14-D17+D70, 0)</f>
        <v>-35851.090000000004</v>
      </c>
      <c r="E72" s="7">
        <f t="shared" si="5"/>
        <v>-28505.439999999999</v>
      </c>
      <c r="F72" s="7">
        <f t="shared" si="5"/>
        <v>-43782.289999999994</v>
      </c>
      <c r="G72" s="7">
        <f t="shared" si="5"/>
        <v>-27845.48</v>
      </c>
      <c r="H72" s="7">
        <f t="shared" si="5"/>
        <v>-72649.430000000008</v>
      </c>
      <c r="I72" s="7">
        <f t="shared" si="5"/>
        <v>-30381.719999999998</v>
      </c>
      <c r="J72" s="7">
        <f t="shared" si="5"/>
        <v>-58900.411211538492</v>
      </c>
      <c r="K72" s="7">
        <f t="shared" si="5"/>
        <v>-39107.928969230808</v>
      </c>
      <c r="L72" s="7">
        <f t="shared" si="5"/>
        <v>-30042.382430769179</v>
      </c>
      <c r="M72" s="7">
        <f t="shared" si="5"/>
        <v>-48590.47803846153</v>
      </c>
      <c r="N72" s="7">
        <f t="shared" si="5"/>
        <v>-31517.382430769179</v>
      </c>
      <c r="O72" s="7">
        <f t="shared" si="5"/>
        <v>-31072.382430769179</v>
      </c>
      <c r="Q72" s="7">
        <f>IFERROR(+Q14-Q17+Q70, 0)</f>
        <v>-478246.41551153839</v>
      </c>
    </row>
    <row r="73" spans="1:17" s="6" customFormat="1" x14ac:dyDescent="0.3">
      <c r="B73" s="16"/>
      <c r="C73" s="16"/>
      <c r="D73" s="4">
        <f t="shared" ref="D73:O73" si="6">IFERROR(D72/D10, 0)</f>
        <v>0</v>
      </c>
      <c r="E73" s="4">
        <f t="shared" si="6"/>
        <v>0</v>
      </c>
      <c r="F73" s="4">
        <f t="shared" si="6"/>
        <v>0</v>
      </c>
      <c r="G73" s="4">
        <f t="shared" si="6"/>
        <v>0</v>
      </c>
      <c r="H73" s="4">
        <f t="shared" si="6"/>
        <v>0</v>
      </c>
      <c r="I73" s="4">
        <f t="shared" si="6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  <c r="N73" s="4">
        <f t="shared" si="6"/>
        <v>0</v>
      </c>
      <c r="O73" s="4">
        <f t="shared" si="6"/>
        <v>0</v>
      </c>
      <c r="P73" s="18"/>
      <c r="Q73" s="4">
        <f>IFERROR(Q72/Q10, 0)</f>
        <v>0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2">
        <f>SUM(OSRRefD28_0x)+IFERROR(SUM(OSRRefE28_0x),0)</f>
        <v>0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7">IFERROR(+D72-D75, 0)</f>
        <v>-35851.090000000004</v>
      </c>
      <c r="E77" s="8">
        <f t="shared" si="7"/>
        <v>-28505.439999999999</v>
      </c>
      <c r="F77" s="8">
        <f t="shared" si="7"/>
        <v>-43782.289999999994</v>
      </c>
      <c r="G77" s="8">
        <f t="shared" si="7"/>
        <v>-27845.48</v>
      </c>
      <c r="H77" s="8">
        <f t="shared" si="7"/>
        <v>-72649.430000000008</v>
      </c>
      <c r="I77" s="8">
        <f t="shared" si="7"/>
        <v>-30381.719999999998</v>
      </c>
      <c r="J77" s="8">
        <f t="shared" si="7"/>
        <v>-58900.411211538492</v>
      </c>
      <c r="K77" s="8">
        <f t="shared" si="7"/>
        <v>-39107.928969230808</v>
      </c>
      <c r="L77" s="8">
        <f t="shared" si="7"/>
        <v>-30042.382430769179</v>
      </c>
      <c r="M77" s="8">
        <f t="shared" si="7"/>
        <v>-48590.47803846153</v>
      </c>
      <c r="N77" s="8">
        <f t="shared" si="7"/>
        <v>-31517.382430769179</v>
      </c>
      <c r="O77" s="8">
        <f t="shared" si="7"/>
        <v>-31072.382430769179</v>
      </c>
      <c r="Q77" s="8">
        <f>IFERROR(+Q72-Q75, 0)</f>
        <v>-478246.41551153839</v>
      </c>
    </row>
    <row r="78" spans="1:17" ht="15" thickTop="1" x14ac:dyDescent="0.3">
      <c r="A78" s="5"/>
      <c r="B78" s="5"/>
      <c r="C78" s="5"/>
      <c r="D78" s="4">
        <f t="shared" ref="D78:O78" si="8">IFERROR(D77/D10, 0)</f>
        <v>0</v>
      </c>
      <c r="E78" s="4">
        <f t="shared" si="8"/>
        <v>0</v>
      </c>
      <c r="F78" s="4">
        <f t="shared" si="8"/>
        <v>0</v>
      </c>
      <c r="G78" s="4">
        <f t="shared" si="8"/>
        <v>0</v>
      </c>
      <c r="H78" s="4">
        <f t="shared" si="8"/>
        <v>0</v>
      </c>
      <c r="I78" s="4">
        <f t="shared" si="8"/>
        <v>0</v>
      </c>
      <c r="J78" s="4">
        <f t="shared" si="8"/>
        <v>0</v>
      </c>
      <c r="K78" s="4">
        <f t="shared" si="8"/>
        <v>0</v>
      </c>
      <c r="L78" s="4">
        <f t="shared" si="8"/>
        <v>0</v>
      </c>
      <c r="M78" s="4">
        <f t="shared" si="8"/>
        <v>0</v>
      </c>
      <c r="N78" s="4">
        <f t="shared" si="8"/>
        <v>0</v>
      </c>
      <c r="O78" s="4">
        <f t="shared" si="8"/>
        <v>0</v>
      </c>
      <c r="P78" s="18"/>
      <c r="Q78" s="4">
        <f>IFERROR(Q77/Q10, 0)</f>
        <v>0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9">IFERROR(SUM(D77:D80), 0)</f>
        <v>-35851.090000000004</v>
      </c>
      <c r="E81" s="8">
        <f t="shared" si="9"/>
        <v>-28505.439999999999</v>
      </c>
      <c r="F81" s="8">
        <f t="shared" si="9"/>
        <v>-43782.289999999994</v>
      </c>
      <c r="G81" s="8">
        <f t="shared" si="9"/>
        <v>-27845.48</v>
      </c>
      <c r="H81" s="8">
        <f t="shared" si="9"/>
        <v>-72649.430000000008</v>
      </c>
      <c r="I81" s="8">
        <f t="shared" si="9"/>
        <v>-30381.719999999998</v>
      </c>
      <c r="J81" s="8">
        <f t="shared" si="9"/>
        <v>-58900.411211538492</v>
      </c>
      <c r="K81" s="8">
        <f t="shared" si="9"/>
        <v>-39107.928969230808</v>
      </c>
      <c r="L81" s="8">
        <f t="shared" si="9"/>
        <v>-30042.382430769179</v>
      </c>
      <c r="M81" s="8">
        <f t="shared" si="9"/>
        <v>-48590.47803846153</v>
      </c>
      <c r="N81" s="8">
        <f t="shared" si="9"/>
        <v>-31517.382430769179</v>
      </c>
      <c r="O81" s="8">
        <f t="shared" si="9"/>
        <v>-31072.382430769179</v>
      </c>
      <c r="Q81" s="8">
        <f>IFERROR(SUM(Q77:Q80), 0)</f>
        <v>-478246.41551153839</v>
      </c>
    </row>
    <row r="82" spans="1:17" ht="15" thickTop="1" x14ac:dyDescent="0.3">
      <c r="A82" s="5"/>
      <c r="C82" s="5"/>
      <c r="D82" s="4">
        <f t="shared" ref="D82:O82" si="10">IFERROR(D81/D10, 0)</f>
        <v>0</v>
      </c>
      <c r="E82" s="4">
        <f t="shared" si="10"/>
        <v>0</v>
      </c>
      <c r="F82" s="4">
        <f t="shared" si="10"/>
        <v>0</v>
      </c>
      <c r="G82" s="4">
        <f t="shared" si="10"/>
        <v>0</v>
      </c>
      <c r="H82" s="4">
        <f t="shared" si="10"/>
        <v>0</v>
      </c>
      <c r="I82" s="4">
        <f t="shared" si="10"/>
        <v>0</v>
      </c>
      <c r="J82" s="4">
        <f t="shared" si="10"/>
        <v>0</v>
      </c>
      <c r="K82" s="4">
        <f t="shared" si="10"/>
        <v>0</v>
      </c>
      <c r="L82" s="4">
        <f t="shared" si="10"/>
        <v>0</v>
      </c>
      <c r="M82" s="4">
        <f t="shared" si="10"/>
        <v>0</v>
      </c>
      <c r="N82" s="4">
        <f t="shared" si="10"/>
        <v>0</v>
      </c>
      <c r="O82" s="4">
        <f t="shared" si="10"/>
        <v>0</v>
      </c>
      <c r="P82" s="18"/>
      <c r="Q82" s="4">
        <f>IFERROR(Q81/Q10, 0)</f>
        <v>0</v>
      </c>
    </row>
    <row r="83" spans="1:17" x14ac:dyDescent="0.3">
      <c r="A83" s="5"/>
      <c r="B83" s="28">
        <v>44575.850692245367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26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3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","202", " - ", "Accounting")</f>
        <v>Department 202 - Accounting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41601.359999999993</v>
      </c>
      <c r="E17" s="12">
        <f>SUM(OSRRefD20x_1)</f>
        <v>40690.090000000004</v>
      </c>
      <c r="F17" s="12">
        <f>SUM(OSRRefD20x_2)</f>
        <v>37567.949999999997</v>
      </c>
      <c r="G17" s="12">
        <f>SUM(OSRRefD20x_3)</f>
        <v>46230.25</v>
      </c>
      <c r="H17" s="12">
        <f>SUM(OSRRefD20x_4)</f>
        <v>38788.509999999995</v>
      </c>
      <c r="I17" s="12">
        <f>SUM(OSRRefD20x_5)</f>
        <v>38170.729999999989</v>
      </c>
      <c r="J17" s="12">
        <f>SUM(OSRRefE20x_0)</f>
        <v>52613.535630384591</v>
      </c>
      <c r="K17" s="12">
        <f>SUM(OSRRefE20x_1)</f>
        <v>49108.428504307667</v>
      </c>
      <c r="L17" s="12">
        <f>SUM(OSRRefE20x_2)</f>
        <v>54549.428504307667</v>
      </c>
      <c r="M17" s="12">
        <f>SUM(OSRRefE20x_3)</f>
        <v>44054.535630384591</v>
      </c>
      <c r="N17" s="12">
        <f>SUM(OSRRefE20x_4)</f>
        <v>36641.142056307675</v>
      </c>
      <c r="O17" s="12">
        <f>SUM(OSRRefE20x_5)</f>
        <v>36732.855608307669</v>
      </c>
      <c r="Q17" s="12">
        <f>SUM(OSRRefG20x)</f>
        <v>516748.81593399995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SUM(OSRRefD21_0x_1)</f>
        <v>13032.87</v>
      </c>
      <c r="F18" s="1">
        <f>SUM(OSRRefD21_0x_2)</f>
        <v>12831.35</v>
      </c>
      <c r="G18" s="1">
        <f>SUM(OSRRefD21_0x_3)</f>
        <v>16036.889999999998</v>
      </c>
      <c r="H18" s="1">
        <f>SUM(OSRRefD21_0x_4)</f>
        <v>13133.77</v>
      </c>
      <c r="I18" s="1">
        <f>SUM(OSRRefD21_0x_5)</f>
        <v>13275.729999999998</v>
      </c>
      <c r="J18" s="1">
        <f>SUM(OSRRefE21_0x_0)</f>
        <v>14247.8163996154</v>
      </c>
      <c r="K18" s="1">
        <f>SUM(OSRRefE21_0x_1)</f>
        <v>12762.85311969231</v>
      </c>
      <c r="L18" s="1">
        <f>SUM(OSRRefE21_0x_2)</f>
        <v>12762.85311969231</v>
      </c>
      <c r="M18" s="1">
        <f>SUM(OSRRefE21_0x_3)</f>
        <v>14247.8163996154</v>
      </c>
      <c r="N18" s="1">
        <f>SUM(OSRRefE21_0x_4)</f>
        <v>12854.56667169231</v>
      </c>
      <c r="O18" s="1">
        <f>SUM(OSRRefE21_0x_5)</f>
        <v>12946.280223692311</v>
      </c>
      <c r="Q18" s="2">
        <f>SUM(OSRRefD20_0x)+IFERROR(SUM(OSRRefE20_0x),0)</f>
        <v>160778.12593400007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1630.15</v>
      </c>
      <c r="F19" s="2">
        <v>1630.16</v>
      </c>
      <c r="G19" s="2">
        <v>2448.0700000000002</v>
      </c>
      <c r="H19" s="2">
        <v>1695.13</v>
      </c>
      <c r="I19" s="2">
        <v>1708.26</v>
      </c>
      <c r="J19" s="2">
        <v>2092.2212919230801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21890.831374000001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274.88</v>
      </c>
      <c r="F20" s="2">
        <v>286.45</v>
      </c>
      <c r="G20" s="2">
        <v>427.44</v>
      </c>
      <c r="H20" s="2">
        <v>291.88</v>
      </c>
      <c r="I20" s="2">
        <v>291.41000000000003</v>
      </c>
      <c r="J20" s="2">
        <v>94.037188461538506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2334.9733800000004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6221.66</v>
      </c>
      <c r="F21" s="2">
        <v>6266.66</v>
      </c>
      <c r="G21" s="2">
        <v>6221.66</v>
      </c>
      <c r="H21" s="2">
        <v>6221.66</v>
      </c>
      <c r="I21" s="2">
        <v>6221.66</v>
      </c>
      <c r="J21" s="2">
        <v>6123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74112.959999999992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55.4</v>
      </c>
      <c r="F22" s="2">
        <v>57.74</v>
      </c>
      <c r="G22" s="2">
        <v>86.15</v>
      </c>
      <c r="H22" s="2">
        <v>58.83</v>
      </c>
      <c r="I22" s="2">
        <v>58.73</v>
      </c>
      <c r="J22" s="2">
        <v>63.702611538461497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703.31357999999977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1947.91</v>
      </c>
      <c r="F23" s="2">
        <v>1947.91</v>
      </c>
      <c r="G23" s="2">
        <v>2921.87</v>
      </c>
      <c r="H23" s="2">
        <v>2025.79</v>
      </c>
      <c r="I23" s="2">
        <v>2025.79</v>
      </c>
      <c r="J23" s="2">
        <v>2351.11761538462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25042.991600000001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1413.92</v>
      </c>
      <c r="F25" s="2">
        <v>1164.3399999999999</v>
      </c>
      <c r="G25" s="2">
        <v>1746.51</v>
      </c>
      <c r="H25" s="2">
        <v>1210.92</v>
      </c>
      <c r="I25" s="2">
        <v>1470.48</v>
      </c>
      <c r="J25" s="2">
        <v>1366.9288461538499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15296.010000000018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979.42</v>
      </c>
      <c r="F26" s="2">
        <v>979.42</v>
      </c>
      <c r="G26" s="2">
        <v>1469.13</v>
      </c>
      <c r="H26" s="2">
        <v>1018.58</v>
      </c>
      <c r="I26" s="2">
        <v>1018.58</v>
      </c>
      <c r="J26" s="2">
        <v>1456.80884615385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14019.95600000002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509.53</v>
      </c>
      <c r="F27" s="2">
        <v>498.67</v>
      </c>
      <c r="G27" s="2">
        <v>716.06</v>
      </c>
      <c r="H27" s="2">
        <v>610.98</v>
      </c>
      <c r="I27" s="2">
        <v>480.82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7377.09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SUM(OSRRefD21_1x_1)</f>
        <v>20678.22</v>
      </c>
      <c r="F28" s="1">
        <f>SUM(OSRRefD21_1x_2)</f>
        <v>21607.759999999998</v>
      </c>
      <c r="G28" s="1">
        <f>SUM(OSRRefD21_1x_3)</f>
        <v>26688.199999999997</v>
      </c>
      <c r="H28" s="1">
        <f>SUM(OSRRefD21_1x_4)</f>
        <v>22551.68</v>
      </c>
      <c r="I28" s="1">
        <f>SUM(OSRRefD21_1x_5)</f>
        <v>21786.84</v>
      </c>
      <c r="J28" s="1">
        <f>SUM(OSRRefE21_1x_0)</f>
        <v>27600.719230769188</v>
      </c>
      <c r="K28" s="1">
        <f>SUM(OSRRefE21_1x_1)</f>
        <v>22080.57538461536</v>
      </c>
      <c r="L28" s="1">
        <f>SUM(OSRRefE21_1x_2)</f>
        <v>22080.57538461536</v>
      </c>
      <c r="M28" s="1">
        <f>SUM(OSRRefE21_1x_3)</f>
        <v>27600.719230769188</v>
      </c>
      <c r="N28" s="1">
        <f>SUM(OSRRefE21_1x_4)</f>
        <v>22080.575384615364</v>
      </c>
      <c r="O28" s="1">
        <f>SUM(OSRRefE21_1x_5)</f>
        <v>22080.57538461536</v>
      </c>
      <c r="Q28" s="2">
        <f>SUM(OSRRefD20_1x)+IFERROR(SUM(OSRRefE20_1x),0)</f>
        <v>283077.19999999984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>
        <v>6977.4576923076902</v>
      </c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36282.780000000021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20473.22</v>
      </c>
      <c r="F30" s="2">
        <v>20722.8</v>
      </c>
      <c r="G30" s="2">
        <v>25747.279999999999</v>
      </c>
      <c r="H30" s="2">
        <v>22083.200000000001</v>
      </c>
      <c r="I30" s="2">
        <v>21279.8</v>
      </c>
      <c r="J30" s="2">
        <v>17627.261538461498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228208.81999999977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>
        <v>205</v>
      </c>
      <c r="F35" s="2">
        <v>884.96</v>
      </c>
      <c r="G35" s="2">
        <v>940.92</v>
      </c>
      <c r="H35" s="2">
        <v>468.48</v>
      </c>
      <c r="I35" s="2">
        <v>507.04</v>
      </c>
      <c r="J35" s="2">
        <v>0</v>
      </c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6601.6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>
        <v>2996</v>
      </c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11984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SUM(OSRRefE21_2x_0)</f>
        <v>1559</v>
      </c>
      <c r="K39" s="1">
        <f>SUM(OSRRefE21_2x_1)</f>
        <v>1559</v>
      </c>
      <c r="L39" s="1">
        <f>SUM(OSRRefE21_2x_2)</f>
        <v>0</v>
      </c>
      <c r="M39" s="1">
        <f>SUM(OSRRefE21_2x_3)</f>
        <v>0</v>
      </c>
      <c r="N39" s="1">
        <f>SUM(OSRRefE21_2x_4)</f>
        <v>0</v>
      </c>
      <c r="O39" s="1">
        <f>SUM(OSRRefE21_2x_5)</f>
        <v>0</v>
      </c>
      <c r="Q39" s="2">
        <f>SUM(OSRRefD20_2x)+IFERROR(SUM(OSRRefE20_2x),0)</f>
        <v>12471.28</v>
      </c>
    </row>
    <row r="40" spans="1:17" s="35" customFormat="1" hidden="1" outlineLevel="1" x14ac:dyDescent="0.3">
      <c r="A40" s="34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1559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12471.28</v>
      </c>
    </row>
    <row r="41" spans="1:17" s="35" customFormat="1" collapsed="1" x14ac:dyDescent="0.3">
      <c r="A41" s="34"/>
      <c r="B41" s="14" t="str">
        <f>CONCATENATE("     ","Employees' Appreciation                           ")</f>
        <v xml:space="preserve">     Employees' Appreciation                           </v>
      </c>
      <c r="C41" s="14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8.02</v>
      </c>
      <c r="J41" s="1">
        <f>SUM(OSRRefE21_3x_0)</f>
        <v>0</v>
      </c>
      <c r="K41" s="1">
        <f>SUM(OSRRefE21_3x_1)</f>
        <v>0</v>
      </c>
      <c r="L41" s="1">
        <f>SUM(OSRRefE21_3x_2)</f>
        <v>0</v>
      </c>
      <c r="M41" s="1">
        <f>SUM(OSRRefE21_3x_3)</f>
        <v>0</v>
      </c>
      <c r="N41" s="1">
        <f>SUM(OSRRefE21_3x_4)</f>
        <v>0</v>
      </c>
      <c r="O41" s="1">
        <f>SUM(OSRRefE21_3x_5)</f>
        <v>0</v>
      </c>
      <c r="Q41" s="2">
        <f>SUM(OSRRefD20_3x)+IFERROR(SUM(OSRRefE20_3x),0)</f>
        <v>8.02</v>
      </c>
    </row>
    <row r="42" spans="1:17" s="35" customFormat="1" hidden="1" outlineLevel="1" x14ac:dyDescent="0.3">
      <c r="A42" s="34"/>
      <c r="B42" s="10" t="str">
        <f>CONCATENATE("          ","6277", " - ","EMPLOYEE APPRECIATION")</f>
        <v xml:space="preserve">          6277 - EMPLOYEE APPRECIATION</v>
      </c>
      <c r="C42" s="14"/>
      <c r="D42" s="2"/>
      <c r="E42" s="2"/>
      <c r="F42" s="2"/>
      <c r="G42" s="2"/>
      <c r="H42" s="2"/>
      <c r="I42" s="2">
        <v>8.02</v>
      </c>
      <c r="J42" s="2"/>
      <c r="K42" s="2"/>
      <c r="L42" s="2"/>
      <c r="M42" s="2"/>
      <c r="N42" s="2"/>
      <c r="O42" s="2"/>
      <c r="P42" s="9"/>
      <c r="Q42" s="2">
        <f>SUM(OSRRefD21_3_0x)+IFERROR(SUM(OSRRefE21_3_0x),0)</f>
        <v>8.02</v>
      </c>
    </row>
    <row r="43" spans="1:17" s="35" customFormat="1" collapsed="1" x14ac:dyDescent="0.3">
      <c r="A43" s="34"/>
      <c r="B43" s="14" t="str">
        <f>CONCATENATE("     ","Equipment Rental                                  ")</f>
        <v xml:space="preserve">     Equipment Rental                                  </v>
      </c>
      <c r="C43" s="14"/>
      <c r="D43" s="1">
        <f>SUM(OSRRefD21_4x_0)</f>
        <v>91.26</v>
      </c>
      <c r="E43" s="1">
        <f>SUM(OSRRefD21_4x_1)</f>
        <v>91.26</v>
      </c>
      <c r="F43" s="1">
        <f>SUM(OSRRefD21_4x_2)</f>
        <v>91.26</v>
      </c>
      <c r="G43" s="1">
        <f>SUM(OSRRefD21_4x_3)</f>
        <v>91.26</v>
      </c>
      <c r="H43" s="1">
        <f>SUM(OSRRefD21_4x_4)</f>
        <v>91.26</v>
      </c>
      <c r="I43" s="1">
        <f>SUM(OSRRefD21_4x_5)</f>
        <v>91.26</v>
      </c>
      <c r="J43" s="1">
        <f>SUM(OSRRefE21_4x_0)</f>
        <v>91</v>
      </c>
      <c r="K43" s="1">
        <f>SUM(OSRRefE21_4x_1)</f>
        <v>91</v>
      </c>
      <c r="L43" s="1">
        <f>SUM(OSRRefE21_4x_2)</f>
        <v>91</v>
      </c>
      <c r="M43" s="1">
        <f>SUM(OSRRefE21_4x_3)</f>
        <v>91</v>
      </c>
      <c r="N43" s="1">
        <f>SUM(OSRRefE21_4x_4)</f>
        <v>91</v>
      </c>
      <c r="O43" s="1">
        <f>SUM(OSRRefE21_4x_5)</f>
        <v>91</v>
      </c>
      <c r="Q43" s="2">
        <f>SUM(OSRRefD20_4x)+IFERROR(SUM(OSRRefE20_4x),0)</f>
        <v>1093.56</v>
      </c>
    </row>
    <row r="44" spans="1:17" s="35" customFormat="1" hidden="1" outlineLevel="1" x14ac:dyDescent="0.3">
      <c r="A44" s="34"/>
      <c r="B44" s="10" t="str">
        <f>CONCATENATE("          ","6351", " - ","EQUIPMENT RENTAL")</f>
        <v xml:space="preserve">          6351 - EQUIPMENT RENTAL</v>
      </c>
      <c r="C44" s="14"/>
      <c r="D44" s="2">
        <v>91.26</v>
      </c>
      <c r="E44" s="2">
        <v>91.26</v>
      </c>
      <c r="F44" s="2">
        <v>91.26</v>
      </c>
      <c r="G44" s="2">
        <v>91.26</v>
      </c>
      <c r="H44" s="2">
        <v>91.26</v>
      </c>
      <c r="I44" s="2">
        <v>91.26</v>
      </c>
      <c r="J44" s="2">
        <v>91</v>
      </c>
      <c r="K44" s="2">
        <v>91</v>
      </c>
      <c r="L44" s="2">
        <v>91</v>
      </c>
      <c r="M44" s="2">
        <v>91</v>
      </c>
      <c r="N44" s="2">
        <v>91</v>
      </c>
      <c r="O44" s="2">
        <v>91</v>
      </c>
      <c r="P44" s="9"/>
      <c r="Q44" s="2">
        <f>SUM(OSRRefD21_4_0x)+IFERROR(SUM(OSRRefE21_4_0x),0)</f>
        <v>1093.56</v>
      </c>
    </row>
    <row r="45" spans="1:17" s="35" customFormat="1" collapsed="1" x14ac:dyDescent="0.3">
      <c r="A45" s="34"/>
      <c r="B45" s="14" t="str">
        <f>CONCATENATE("     ","Freight out/Postage                               ")</f>
        <v xml:space="preserve">     Freight out/Postage                               </v>
      </c>
      <c r="C45" s="14"/>
      <c r="D45" s="1">
        <f>SUM(OSRRefD21_5x_0)</f>
        <v>88.12</v>
      </c>
      <c r="E45" s="1">
        <f>SUM(OSRRefD21_5x_1)</f>
        <v>108.63</v>
      </c>
      <c r="F45" s="1">
        <f>SUM(OSRRefD21_5x_2)</f>
        <v>169.6</v>
      </c>
      <c r="G45" s="1">
        <f>SUM(OSRRefD21_5x_3)</f>
        <v>172.98</v>
      </c>
      <c r="H45" s="1">
        <f>SUM(OSRRefD21_5x_4)</f>
        <v>123.49</v>
      </c>
      <c r="I45" s="1">
        <f>SUM(OSRRefD21_5x_5)</f>
        <v>130.52000000000001</v>
      </c>
      <c r="J45" s="1">
        <f>SUM(OSRRefE21_5x_0)</f>
        <v>100</v>
      </c>
      <c r="K45" s="1">
        <f>SUM(OSRRefE21_5x_1)</f>
        <v>100</v>
      </c>
      <c r="L45" s="1">
        <f>SUM(OSRRefE21_5x_2)</f>
        <v>100</v>
      </c>
      <c r="M45" s="1">
        <f>SUM(OSRRefE21_5x_3)</f>
        <v>100</v>
      </c>
      <c r="N45" s="1">
        <f>SUM(OSRRefE21_5x_4)</f>
        <v>100</v>
      </c>
      <c r="O45" s="1">
        <f>SUM(OSRRefE21_5x_5)</f>
        <v>100</v>
      </c>
      <c r="Q45" s="2">
        <f>SUM(OSRRefD20_5x)+IFERROR(SUM(OSRRefE20_5x),0)</f>
        <v>1393.3400000000001</v>
      </c>
    </row>
    <row r="46" spans="1:17" s="35" customFormat="1" hidden="1" outlineLevel="1" x14ac:dyDescent="0.3">
      <c r="A46" s="34"/>
      <c r="B46" s="10" t="str">
        <f>CONCATENATE("          ","6307", " - ","POSTAGE")</f>
        <v xml:space="preserve">          6307 - POSTAGE</v>
      </c>
      <c r="C46" s="14"/>
      <c r="D46" s="2">
        <v>88.12</v>
      </c>
      <c r="E46" s="2">
        <v>108.63</v>
      </c>
      <c r="F46" s="2">
        <v>169.6</v>
      </c>
      <c r="G46" s="2">
        <v>172.98</v>
      </c>
      <c r="H46" s="2">
        <v>123.49</v>
      </c>
      <c r="I46" s="2">
        <v>130.52000000000001</v>
      </c>
      <c r="J46" s="2">
        <v>100</v>
      </c>
      <c r="K46" s="2">
        <v>100</v>
      </c>
      <c r="L46" s="2">
        <v>100</v>
      </c>
      <c r="M46" s="2">
        <v>100</v>
      </c>
      <c r="N46" s="2">
        <v>100</v>
      </c>
      <c r="O46" s="2">
        <v>100</v>
      </c>
      <c r="P46" s="9"/>
      <c r="Q46" s="2">
        <f>SUM(OSRRefD21_5_0x)+IFERROR(SUM(OSRRefE21_5_0x),0)</f>
        <v>1393.3400000000001</v>
      </c>
    </row>
    <row r="47" spans="1:17" s="35" customFormat="1" collapsed="1" x14ac:dyDescent="0.3">
      <c r="A47" s="34"/>
      <c r="B47" s="14" t="str">
        <f>CONCATENATE("     ","Insurance                                         ")</f>
        <v xml:space="preserve">     Insurance                                         </v>
      </c>
      <c r="C47" s="14"/>
      <c r="D47" s="1">
        <f>SUM(OSRRefD21_6x_0)</f>
        <v>179.64</v>
      </c>
      <c r="E47" s="1">
        <f>SUM(OSRRefD21_6x_1)</f>
        <v>179.64</v>
      </c>
      <c r="F47" s="1">
        <f>SUM(OSRRefD21_6x_2)</f>
        <v>179.64</v>
      </c>
      <c r="G47" s="1">
        <f>SUM(OSRRefD21_6x_3)</f>
        <v>179.64</v>
      </c>
      <c r="H47" s="1">
        <f>SUM(OSRRefD21_6x_4)</f>
        <v>179.64</v>
      </c>
      <c r="I47" s="1">
        <f>SUM(OSRRefD21_6x_5)</f>
        <v>179.64</v>
      </c>
      <c r="J47" s="1">
        <f>SUM(OSRRefE21_6x_0)</f>
        <v>180</v>
      </c>
      <c r="K47" s="1">
        <f>SUM(OSRRefE21_6x_1)</f>
        <v>180</v>
      </c>
      <c r="L47" s="1">
        <f>SUM(OSRRefE21_6x_2)</f>
        <v>180</v>
      </c>
      <c r="M47" s="1">
        <f>SUM(OSRRefE21_6x_3)</f>
        <v>180</v>
      </c>
      <c r="N47" s="1">
        <f>SUM(OSRRefE21_6x_4)</f>
        <v>180</v>
      </c>
      <c r="O47" s="1">
        <f>SUM(OSRRefE21_6x_5)</f>
        <v>180</v>
      </c>
      <c r="Q47" s="2">
        <f>SUM(OSRRefD20_6x)+IFERROR(SUM(OSRRefE20_6x),0)</f>
        <v>2157.84</v>
      </c>
    </row>
    <row r="48" spans="1:17" s="35" customFormat="1" hidden="1" outlineLevel="1" x14ac:dyDescent="0.3">
      <c r="A48" s="34"/>
      <c r="B48" s="10" t="str">
        <f>CONCATENATE("          ","6314", " - ","LIABILITY INSURANCE")</f>
        <v xml:space="preserve">          6314 - LIABILITY INSURANCE</v>
      </c>
      <c r="C48" s="14"/>
      <c r="D48" s="2">
        <v>179.64</v>
      </c>
      <c r="E48" s="2">
        <v>179.64</v>
      </c>
      <c r="F48" s="2">
        <v>179.64</v>
      </c>
      <c r="G48" s="2">
        <v>179.64</v>
      </c>
      <c r="H48" s="2">
        <v>179.64</v>
      </c>
      <c r="I48" s="2">
        <v>179.64</v>
      </c>
      <c r="J48" s="2">
        <v>180</v>
      </c>
      <c r="K48" s="2">
        <v>180</v>
      </c>
      <c r="L48" s="2">
        <v>180</v>
      </c>
      <c r="M48" s="2">
        <v>180</v>
      </c>
      <c r="N48" s="2">
        <v>180</v>
      </c>
      <c r="O48" s="2">
        <v>180</v>
      </c>
      <c r="P48" s="9"/>
      <c r="Q48" s="2">
        <f>SUM(OSRRefD21_6_0x)+IFERROR(SUM(OSRRefE21_6_0x),0)</f>
        <v>2157.84</v>
      </c>
    </row>
    <row r="49" spans="1:17" s="35" customFormat="1" collapsed="1" x14ac:dyDescent="0.3">
      <c r="A49" s="34"/>
      <c r="B49" s="14" t="str">
        <f>CONCATENATE("     ","Repair and Maintenance                            ")</f>
        <v xml:space="preserve">     Repair and Maintenance                            </v>
      </c>
      <c r="C49" s="14"/>
      <c r="D49" s="1">
        <f>SUM(OSRRefD21_7x_0)</f>
        <v>59.95</v>
      </c>
      <c r="E49" s="1">
        <f>SUM(OSRRefD21_7x_1)</f>
        <v>1617.51</v>
      </c>
      <c r="F49" s="1">
        <f>SUM(OSRRefD21_7x_2)</f>
        <v>0</v>
      </c>
      <c r="G49" s="1">
        <f>SUM(OSRRefD21_7x_3)</f>
        <v>152.89000000000001</v>
      </c>
      <c r="H49" s="1">
        <f>SUM(OSRRefD21_7x_4)</f>
        <v>70.510000000000005</v>
      </c>
      <c r="I49" s="1">
        <f>SUM(OSRRefD21_7x_5)</f>
        <v>67.680000000000007</v>
      </c>
      <c r="J49" s="1">
        <f>SUM(OSRRefE21_7x_0)</f>
        <v>4710</v>
      </c>
      <c r="K49" s="1">
        <f>SUM(OSRRefE21_7x_1)</f>
        <v>11210</v>
      </c>
      <c r="L49" s="1">
        <f>SUM(OSRRefE21_7x_2)</f>
        <v>18210</v>
      </c>
      <c r="M49" s="1">
        <f>SUM(OSRRefE21_7x_3)</f>
        <v>710</v>
      </c>
      <c r="N49" s="1">
        <f>SUM(OSRRefE21_7x_4)</f>
        <v>210</v>
      </c>
      <c r="O49" s="1">
        <f>SUM(OSRRefE21_7x_5)</f>
        <v>210</v>
      </c>
      <c r="Q49" s="2">
        <f>SUM(OSRRefD20_7x)+IFERROR(SUM(OSRRefE20_7x),0)</f>
        <v>37228.54</v>
      </c>
    </row>
    <row r="50" spans="1:17" s="35" customFormat="1" hidden="1" outlineLevel="1" x14ac:dyDescent="0.3">
      <c r="A50" s="34"/>
      <c r="B50" s="10" t="str">
        <f>CONCATENATE("          ","6371", " - ","COMPUTER SOFTWARE MAINTENANCE")</f>
        <v xml:space="preserve">          6371 - COMPUTER SOFTWARE MAINTENANCE</v>
      </c>
      <c r="C50" s="14"/>
      <c r="D50" s="2">
        <v>59.95</v>
      </c>
      <c r="E50" s="2">
        <v>59.95</v>
      </c>
      <c r="F50" s="2"/>
      <c r="G50" s="2">
        <v>119.9</v>
      </c>
      <c r="H50" s="2">
        <v>59.95</v>
      </c>
      <c r="I50" s="2">
        <v>59.95</v>
      </c>
      <c r="J50" s="2"/>
      <c r="K50" s="2">
        <v>11000</v>
      </c>
      <c r="L50" s="2">
        <v>18000</v>
      </c>
      <c r="M50" s="2"/>
      <c r="N50" s="2"/>
      <c r="O50" s="2"/>
      <c r="P50" s="9"/>
      <c r="Q50" s="2">
        <f>SUM(OSRRefD21_7_0x)+IFERROR(SUM(OSRRefE21_7_0x),0)</f>
        <v>29359.7</v>
      </c>
    </row>
    <row r="51" spans="1:17" s="35" customFormat="1" hidden="1" outlineLevel="1" x14ac:dyDescent="0.3">
      <c r="A51" s="34"/>
      <c r="B51" s="10" t="str">
        <f>CONCATENATE("          ","6373", " - ","MAINTENANCE CONTRACTS")</f>
        <v xml:space="preserve">          6373 - MAINTENANCE CONTRACTS</v>
      </c>
      <c r="C51" s="14"/>
      <c r="D51" s="2"/>
      <c r="E51" s="2"/>
      <c r="F51" s="2"/>
      <c r="G51" s="2">
        <v>32.99</v>
      </c>
      <c r="H51" s="2">
        <v>10.56</v>
      </c>
      <c r="I51" s="2">
        <v>7.73</v>
      </c>
      <c r="J51" s="2">
        <v>4560</v>
      </c>
      <c r="K51" s="2">
        <v>60</v>
      </c>
      <c r="L51" s="2">
        <v>60</v>
      </c>
      <c r="M51" s="2">
        <v>560</v>
      </c>
      <c r="N51" s="2">
        <v>60</v>
      </c>
      <c r="O51" s="2">
        <v>60</v>
      </c>
      <c r="P51" s="9"/>
      <c r="Q51" s="2">
        <f>SUM(OSRRefD21_7_1x)+IFERROR(SUM(OSRRefE21_7_1x),0)</f>
        <v>5411.28</v>
      </c>
    </row>
    <row r="52" spans="1:17" s="35" customFormat="1" hidden="1" outlineLevel="1" x14ac:dyDescent="0.3">
      <c r="A52" s="34"/>
      <c r="B52" s="10" t="str">
        <f>CONCATENATE("          ","6375", " - ","OUTSIDE REPAIRS &amp; MAINTENANCE")</f>
        <v xml:space="preserve">          6375 - OUTSIDE REPAIRS &amp; MAINTENANCE</v>
      </c>
      <c r="C52" s="14"/>
      <c r="D52" s="2"/>
      <c r="E52" s="2">
        <v>1557.56</v>
      </c>
      <c r="F52" s="2"/>
      <c r="G52" s="2"/>
      <c r="H52" s="2"/>
      <c r="I52" s="2"/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SUM(OSRRefD21_7_2x)+IFERROR(SUM(OSRRefE21_7_2x),0)</f>
        <v>2457.56</v>
      </c>
    </row>
    <row r="53" spans="1:17" s="35" customFormat="1" collapsed="1" x14ac:dyDescent="0.3">
      <c r="A53" s="34"/>
      <c r="B53" s="14" t="str">
        <f>CONCATENATE("     ","Services                                          ")</f>
        <v xml:space="preserve">     Services                                          </v>
      </c>
      <c r="C53" s="14"/>
      <c r="D53" s="1">
        <f>SUM(OSRRefD21_8x_0)</f>
        <v>0</v>
      </c>
      <c r="E53" s="1">
        <f>SUM(OSRRefD21_8x_1)</f>
        <v>1367.89</v>
      </c>
      <c r="F53" s="1">
        <f>SUM(OSRRefD21_8x_2)</f>
        <v>657.38</v>
      </c>
      <c r="G53" s="1">
        <f>SUM(OSRRefD21_8x_3)</f>
        <v>657.38</v>
      </c>
      <c r="H53" s="1">
        <f>SUM(OSRRefD21_8x_4)</f>
        <v>657.38</v>
      </c>
      <c r="I53" s="1">
        <f>SUM(OSRRefD21_8x_5)</f>
        <v>657.38</v>
      </c>
      <c r="J53" s="1">
        <f>SUM(OSRRefE21_8x_0)</f>
        <v>625</v>
      </c>
      <c r="K53" s="1">
        <f>SUM(OSRRefE21_8x_1)</f>
        <v>625</v>
      </c>
      <c r="L53" s="1">
        <f>SUM(OSRRefE21_8x_2)</f>
        <v>625</v>
      </c>
      <c r="M53" s="1">
        <f>SUM(OSRRefE21_8x_3)</f>
        <v>625</v>
      </c>
      <c r="N53" s="1">
        <f>SUM(OSRRefE21_8x_4)</f>
        <v>625</v>
      </c>
      <c r="O53" s="1">
        <f>SUM(OSRRefE21_8x_5)</f>
        <v>625</v>
      </c>
      <c r="Q53" s="2">
        <f>SUM(OSRRefD20_8x)+IFERROR(SUM(OSRRefE20_8x),0)</f>
        <v>7747.41</v>
      </c>
    </row>
    <row r="54" spans="1:17" s="35" customFormat="1" hidden="1" outlineLevel="1" x14ac:dyDescent="0.3">
      <c r="A54" s="34"/>
      <c r="B54" s="10" t="str">
        <f>CONCATENATE("          ","6281", " - ","STORAGE FEE")</f>
        <v xml:space="preserve">          6281 - STORAGE FEE</v>
      </c>
      <c r="C54" s="14"/>
      <c r="D54" s="2"/>
      <c r="E54" s="2">
        <v>1367.89</v>
      </c>
      <c r="F54" s="2">
        <v>657.38</v>
      </c>
      <c r="G54" s="2">
        <v>657.38</v>
      </c>
      <c r="H54" s="2">
        <v>657.38</v>
      </c>
      <c r="I54" s="2">
        <v>657.38</v>
      </c>
      <c r="J54" s="2">
        <v>625</v>
      </c>
      <c r="K54" s="2">
        <v>625</v>
      </c>
      <c r="L54" s="2">
        <v>625</v>
      </c>
      <c r="M54" s="2">
        <v>625</v>
      </c>
      <c r="N54" s="2">
        <v>625</v>
      </c>
      <c r="O54" s="2">
        <v>625</v>
      </c>
      <c r="P54" s="9"/>
      <c r="Q54" s="2">
        <f>SUM(OSRRefD21_8_0x)+IFERROR(SUM(OSRRefE21_8_0x),0)</f>
        <v>7747.41</v>
      </c>
    </row>
    <row r="55" spans="1:17" s="35" customFormat="1" collapsed="1" x14ac:dyDescent="0.3">
      <c r="A55" s="34"/>
      <c r="B55" s="14" t="str">
        <f>CONCATENATE("     ","Supplies                                          ")</f>
        <v xml:space="preserve">     Supplies                                          </v>
      </c>
      <c r="C55" s="14"/>
      <c r="D55" s="1">
        <f>SUM(OSRRefD21_9x_0)</f>
        <v>272.22000000000003</v>
      </c>
      <c r="E55" s="1">
        <f>SUM(OSRRefD21_9x_1)</f>
        <v>1036.44</v>
      </c>
      <c r="F55" s="1">
        <f>SUM(OSRRefD21_9x_2)</f>
        <v>36.93</v>
      </c>
      <c r="G55" s="1">
        <f>SUM(OSRRefD21_9x_3)</f>
        <v>195.23</v>
      </c>
      <c r="H55" s="1">
        <f>SUM(OSRRefD21_9x_4)</f>
        <v>0</v>
      </c>
      <c r="I55" s="1">
        <f>SUM(OSRRefD21_9x_5)</f>
        <v>69.430000000000007</v>
      </c>
      <c r="J55" s="1">
        <f>SUM(OSRRefE21_9x_0)</f>
        <v>100</v>
      </c>
      <c r="K55" s="1">
        <f>SUM(OSRRefE21_9x_1)</f>
        <v>100</v>
      </c>
      <c r="L55" s="1">
        <f>SUM(OSRRefE21_9x_2)</f>
        <v>100</v>
      </c>
      <c r="M55" s="1">
        <f>SUM(OSRRefE21_9x_3)</f>
        <v>100</v>
      </c>
      <c r="N55" s="1">
        <f>SUM(OSRRefE21_9x_4)</f>
        <v>100</v>
      </c>
      <c r="O55" s="1">
        <f>SUM(OSRRefE21_9x_5)</f>
        <v>100</v>
      </c>
      <c r="Q55" s="2">
        <f>SUM(OSRRefD20_9x)+IFERROR(SUM(OSRRefE20_9x),0)</f>
        <v>2210.25</v>
      </c>
    </row>
    <row r="56" spans="1:17" s="35" customFormat="1" hidden="1" outlineLevel="1" x14ac:dyDescent="0.3">
      <c r="A56" s="34"/>
      <c r="B56" s="10" t="str">
        <f>CONCATENATE("          ","6241", " - ","OFFICE EXPENSE")</f>
        <v xml:space="preserve">          6241 - OFFICE EXPENSE</v>
      </c>
      <c r="C56" s="14"/>
      <c r="D56" s="2">
        <v>272.22000000000003</v>
      </c>
      <c r="E56" s="2">
        <v>1036.44</v>
      </c>
      <c r="F56" s="2">
        <v>36.93</v>
      </c>
      <c r="G56" s="2">
        <v>195.23</v>
      </c>
      <c r="H56" s="2"/>
      <c r="I56" s="2">
        <v>69.430000000000007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SUM(OSRRefD21_9_0x)+IFERROR(SUM(OSRRefE21_9_0x),0)</f>
        <v>2210.25</v>
      </c>
    </row>
    <row r="57" spans="1:17" s="35" customFormat="1" collapsed="1" x14ac:dyDescent="0.3">
      <c r="A57" s="34"/>
      <c r="B57" s="14" t="str">
        <f>CONCATENATE("     ","Telephone/Data Lines                              ")</f>
        <v xml:space="preserve">     Telephone/Data Lines                              </v>
      </c>
      <c r="C57" s="14"/>
      <c r="D57" s="1">
        <f>SUM(OSRRefD21_10x_0)</f>
        <v>448.1</v>
      </c>
      <c r="E57" s="1">
        <f>SUM(OSRRefD21_10x_1)</f>
        <v>423.75</v>
      </c>
      <c r="F57" s="1">
        <f>SUM(OSRRefD21_10x_2)</f>
        <v>421.85</v>
      </c>
      <c r="G57" s="1">
        <f>SUM(OSRRefD21_10x_3)</f>
        <v>496.9</v>
      </c>
      <c r="H57" s="1">
        <f>SUM(OSRRefD21_10x_4)</f>
        <v>421.9</v>
      </c>
      <c r="I57" s="1">
        <f>SUM(OSRRefD21_10x_5)</f>
        <v>345.35</v>
      </c>
      <c r="J57" s="1">
        <f>SUM(OSRRefE21_10x_0)</f>
        <v>400</v>
      </c>
      <c r="K57" s="1">
        <f>SUM(OSRRefE21_10x_1)</f>
        <v>400</v>
      </c>
      <c r="L57" s="1">
        <f>SUM(OSRRefE21_10x_2)</f>
        <v>400</v>
      </c>
      <c r="M57" s="1">
        <f>SUM(OSRRefE21_10x_3)</f>
        <v>400</v>
      </c>
      <c r="N57" s="1">
        <f>SUM(OSRRefE21_10x_4)</f>
        <v>400</v>
      </c>
      <c r="O57" s="1">
        <f>SUM(OSRRefE21_10x_5)</f>
        <v>400</v>
      </c>
      <c r="Q57" s="2">
        <f>SUM(OSRRefD20_10x)+IFERROR(SUM(OSRRefE20_10x),0)</f>
        <v>4957.8500000000004</v>
      </c>
    </row>
    <row r="58" spans="1:17" s="35" customFormat="1" hidden="1" outlineLevel="1" x14ac:dyDescent="0.3">
      <c r="A58" s="34"/>
      <c r="B58" s="10" t="str">
        <f>CONCATENATE("          ","6309", " - ","TELEPHONE")</f>
        <v xml:space="preserve">          6309 - TELEPHONE</v>
      </c>
      <c r="C58" s="14"/>
      <c r="D58" s="2">
        <v>448.1</v>
      </c>
      <c r="E58" s="2">
        <v>423.75</v>
      </c>
      <c r="F58" s="2">
        <v>421.85</v>
      </c>
      <c r="G58" s="2">
        <v>496.9</v>
      </c>
      <c r="H58" s="2">
        <v>421.9</v>
      </c>
      <c r="I58" s="2">
        <v>345.35</v>
      </c>
      <c r="J58" s="2">
        <v>400</v>
      </c>
      <c r="K58" s="2">
        <v>400</v>
      </c>
      <c r="L58" s="2">
        <v>400</v>
      </c>
      <c r="M58" s="2">
        <v>400</v>
      </c>
      <c r="N58" s="2">
        <v>400</v>
      </c>
      <c r="O58" s="2">
        <v>400</v>
      </c>
      <c r="P58" s="9"/>
      <c r="Q58" s="2">
        <f>SUM(OSRRefD21_10_0x)+IFERROR(SUM(OSRRefE21_10_0x),0)</f>
        <v>4957.8500000000004</v>
      </c>
    </row>
    <row r="59" spans="1:17" s="35" customFormat="1" collapsed="1" x14ac:dyDescent="0.3">
      <c r="A59" s="34"/>
      <c r="B59" s="14" t="str">
        <f>CONCATENATE("     ","Training                                          ")</f>
        <v xml:space="preserve">     Training                                          </v>
      </c>
      <c r="C59" s="14"/>
      <c r="D59" s="1">
        <f>SUM(OSRRefD21_11x_0)</f>
        <v>0</v>
      </c>
      <c r="E59" s="1">
        <f>SUM(OSRRefD21_11x_1)</f>
        <v>595</v>
      </c>
      <c r="F59" s="1">
        <f>SUM(OSRRefD21_11x_2)</f>
        <v>0</v>
      </c>
      <c r="G59" s="1">
        <f>SUM(OSRRefD21_11x_3)</f>
        <v>0</v>
      </c>
      <c r="H59" s="1">
        <f>SUM(OSRRefD21_11x_4)</f>
        <v>0</v>
      </c>
      <c r="I59" s="1">
        <f>SUM(OSRRefD21_11x_5)</f>
        <v>0</v>
      </c>
      <c r="J59" s="1">
        <f>SUM(OSRRefE21_11x_0)</f>
        <v>3000</v>
      </c>
      <c r="K59" s="1">
        <f>SUM(OSRRefE21_11x_1)</f>
        <v>0</v>
      </c>
      <c r="L59" s="1">
        <f>SUM(OSRRefE21_11x_2)</f>
        <v>0</v>
      </c>
      <c r="M59" s="1">
        <f>SUM(OSRRefE21_11x_3)</f>
        <v>0</v>
      </c>
      <c r="N59" s="1">
        <f>SUM(OSRRefE21_11x_4)</f>
        <v>0</v>
      </c>
      <c r="O59" s="1">
        <f>SUM(OSRRefE21_11x_5)</f>
        <v>0</v>
      </c>
      <c r="Q59" s="2">
        <f>SUM(OSRRefD20_11x)+IFERROR(SUM(OSRRefE20_11x),0)</f>
        <v>3595</v>
      </c>
    </row>
    <row r="60" spans="1:17" s="35" customFormat="1" hidden="1" outlineLevel="1" x14ac:dyDescent="0.3">
      <c r="A60" s="34"/>
      <c r="B60" s="10" t="str">
        <f>CONCATENATE("          ","6376", " - ","TRAINING")</f>
        <v xml:space="preserve">          6376 - TRAINING</v>
      </c>
      <c r="C60" s="14"/>
      <c r="D60" s="2"/>
      <c r="E60" s="2">
        <v>595</v>
      </c>
      <c r="F60" s="2"/>
      <c r="G60" s="2"/>
      <c r="H60" s="2"/>
      <c r="I60" s="2"/>
      <c r="J60" s="2">
        <v>3000</v>
      </c>
      <c r="K60" s="2"/>
      <c r="L60" s="2"/>
      <c r="M60" s="2"/>
      <c r="N60" s="2"/>
      <c r="O60" s="2"/>
      <c r="P60" s="9"/>
      <c r="Q60" s="2">
        <f>SUM(OSRRefD21_11_0x)+IFERROR(SUM(OSRRefE21_11_0x),0)</f>
        <v>3595</v>
      </c>
    </row>
    <row r="61" spans="1:17" s="35" customFormat="1" collapsed="1" x14ac:dyDescent="0.3">
      <c r="A61" s="34"/>
      <c r="B61" s="14" t="str">
        <f>CONCATENATE("     ","Travel                                            ")</f>
        <v xml:space="preserve">     Travel                                            </v>
      </c>
      <c r="C61" s="14"/>
      <c r="D61" s="1">
        <f>SUM(OSRRefD21_12x_0)</f>
        <v>17.100000000000001</v>
      </c>
      <c r="E61" s="1">
        <f>SUM(OSRRefD21_12x_1)</f>
        <v>0</v>
      </c>
      <c r="F61" s="1">
        <f>SUM(OSRRefD21_12x_2)</f>
        <v>13.3</v>
      </c>
      <c r="G61" s="1">
        <f>SUM(OSRRefD21_12x_3)</f>
        <v>0</v>
      </c>
      <c r="H61" s="1">
        <f>SUM(OSRRefD21_12x_4)</f>
        <v>0</v>
      </c>
      <c r="I61" s="1">
        <f>SUM(OSRRefD21_12x_5)</f>
        <v>0</v>
      </c>
      <c r="J61" s="1">
        <f>SUM(OSRRefE21_12x_0)</f>
        <v>0</v>
      </c>
      <c r="K61" s="1">
        <f>SUM(OSRRefE21_12x_1)</f>
        <v>0</v>
      </c>
      <c r="L61" s="1">
        <f>SUM(OSRRefE21_12x_2)</f>
        <v>0</v>
      </c>
      <c r="M61" s="1">
        <f>SUM(OSRRefE21_12x_3)</f>
        <v>0</v>
      </c>
      <c r="N61" s="1">
        <f>SUM(OSRRefE21_12x_4)</f>
        <v>0</v>
      </c>
      <c r="O61" s="1">
        <f>SUM(OSRRefE21_12x_5)</f>
        <v>0</v>
      </c>
      <c r="Q61" s="2">
        <f>SUM(OSRRefD20_12x)+IFERROR(SUM(OSRRefE20_12x),0)</f>
        <v>30.400000000000002</v>
      </c>
    </row>
    <row r="62" spans="1:17" s="35" customFormat="1" hidden="1" outlineLevel="1" x14ac:dyDescent="0.3">
      <c r="A62" s="34"/>
      <c r="B62" s="10" t="str">
        <f>CONCATENATE("          ","6294", " - ","TRAVEL OPERATIONAL")</f>
        <v xml:space="preserve">          6294 - TRAVEL OPERATIONAL</v>
      </c>
      <c r="C62" s="14"/>
      <c r="D62" s="2">
        <v>17.100000000000001</v>
      </c>
      <c r="E62" s="2"/>
      <c r="F62" s="2">
        <v>13.3</v>
      </c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SUM(OSRRefD21_12_0x)+IFERROR(SUM(OSRRefE21_12_0x),0)</f>
        <v>30.400000000000002</v>
      </c>
    </row>
    <row r="63" spans="1:17" s="29" customFormat="1" x14ac:dyDescent="0.3">
      <c r="A63" s="21"/>
      <c r="B63" s="21"/>
      <c r="C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3">
      <c r="A64" s="23"/>
      <c r="B64" s="16" t="s">
        <v>293</v>
      </c>
      <c r="C64" s="22"/>
      <c r="D64" s="3">
        <f t="shared" ref="D64:I64" si="4">0</f>
        <v>0</v>
      </c>
      <c r="E64" s="3">
        <f t="shared" si="4"/>
        <v>0</v>
      </c>
      <c r="F64" s="3">
        <f t="shared" si="4"/>
        <v>0</v>
      </c>
      <c r="G64" s="3">
        <f t="shared" si="4"/>
        <v>0</v>
      </c>
      <c r="H64" s="3">
        <f t="shared" si="4"/>
        <v>0</v>
      </c>
      <c r="I64" s="3">
        <f t="shared" si="4"/>
        <v>0</v>
      </c>
      <c r="J64" s="3"/>
      <c r="K64" s="3"/>
      <c r="L64" s="3"/>
      <c r="M64" s="3"/>
      <c r="N64" s="3"/>
      <c r="O64" s="3"/>
      <c r="Q64" s="2">
        <f>SUM(OSRRefD23_0x)+IFERROR(SUM(OSRRefE23_0x),0)</f>
        <v>0</v>
      </c>
    </row>
    <row r="65" spans="1:17" x14ac:dyDescent="0.3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x14ac:dyDescent="0.3">
      <c r="A66" s="6"/>
      <c r="B66" s="17" t="s">
        <v>276</v>
      </c>
      <c r="C66" s="17"/>
      <c r="D66" s="7">
        <f t="shared" ref="D66:O66" si="5">IFERROR(+D14-D17+D64, 0)</f>
        <v>-41601.359999999993</v>
      </c>
      <c r="E66" s="7">
        <f t="shared" si="5"/>
        <v>-40690.090000000004</v>
      </c>
      <c r="F66" s="7">
        <f t="shared" si="5"/>
        <v>-37567.949999999997</v>
      </c>
      <c r="G66" s="7">
        <f t="shared" si="5"/>
        <v>-46230.25</v>
      </c>
      <c r="H66" s="7">
        <f t="shared" si="5"/>
        <v>-38788.509999999995</v>
      </c>
      <c r="I66" s="7">
        <f t="shared" si="5"/>
        <v>-38170.729999999989</v>
      </c>
      <c r="J66" s="7">
        <f t="shared" si="5"/>
        <v>-52613.535630384591</v>
      </c>
      <c r="K66" s="7">
        <f t="shared" si="5"/>
        <v>-49108.428504307667</v>
      </c>
      <c r="L66" s="7">
        <f t="shared" si="5"/>
        <v>-54549.428504307667</v>
      </c>
      <c r="M66" s="7">
        <f t="shared" si="5"/>
        <v>-44054.535630384591</v>
      </c>
      <c r="N66" s="7">
        <f t="shared" si="5"/>
        <v>-36641.142056307675</v>
      </c>
      <c r="O66" s="7">
        <f t="shared" si="5"/>
        <v>-36732.855608307669</v>
      </c>
      <c r="Q66" s="7">
        <f>IFERROR(+Q14-Q17+Q64, 0)</f>
        <v>-516748.81593399995</v>
      </c>
    </row>
    <row r="67" spans="1:17" s="6" customFormat="1" x14ac:dyDescent="0.3">
      <c r="B67" s="16"/>
      <c r="C67" s="16"/>
      <c r="D67" s="4">
        <f t="shared" ref="D67:O67" si="6">IFERROR(D66/D10, 0)</f>
        <v>0</v>
      </c>
      <c r="E67" s="4">
        <f t="shared" si="6"/>
        <v>0</v>
      </c>
      <c r="F67" s="4">
        <f t="shared" si="6"/>
        <v>0</v>
      </c>
      <c r="G67" s="4">
        <f t="shared" si="6"/>
        <v>0</v>
      </c>
      <c r="H67" s="4">
        <f t="shared" si="6"/>
        <v>0</v>
      </c>
      <c r="I67" s="4">
        <f t="shared" si="6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  <c r="N67" s="4">
        <f t="shared" si="6"/>
        <v>0</v>
      </c>
      <c r="O67" s="4">
        <f t="shared" si="6"/>
        <v>0</v>
      </c>
      <c r="P67" s="18"/>
      <c r="Q67" s="4">
        <f>IFERROR(Q66/Q10, 0)</f>
        <v>0</v>
      </c>
    </row>
    <row r="68" spans="1:17" x14ac:dyDescent="0.3">
      <c r="A68" s="5"/>
      <c r="B68" s="6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">
      <c r="A69" s="25"/>
      <c r="B69" s="6" t="s">
        <v>125</v>
      </c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SUM(OSRRefD28_0x)+IFERROR(SUM(OSRRefE28_0x),0)</f>
        <v>0</v>
      </c>
    </row>
    <row r="70" spans="1:17" x14ac:dyDescent="0.3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124</v>
      </c>
      <c r="C71" s="17"/>
      <c r="D71" s="8">
        <f t="shared" ref="D71:O71" si="7">IFERROR(+D66-D69, 0)</f>
        <v>-41601.359999999993</v>
      </c>
      <c r="E71" s="8">
        <f t="shared" si="7"/>
        <v>-40690.090000000004</v>
      </c>
      <c r="F71" s="8">
        <f t="shared" si="7"/>
        <v>-37567.949999999997</v>
      </c>
      <c r="G71" s="8">
        <f t="shared" si="7"/>
        <v>-46230.25</v>
      </c>
      <c r="H71" s="8">
        <f t="shared" si="7"/>
        <v>-38788.509999999995</v>
      </c>
      <c r="I71" s="8">
        <f t="shared" si="7"/>
        <v>-38170.729999999989</v>
      </c>
      <c r="J71" s="8">
        <f t="shared" si="7"/>
        <v>-52613.535630384591</v>
      </c>
      <c r="K71" s="8">
        <f t="shared" si="7"/>
        <v>-49108.428504307667</v>
      </c>
      <c r="L71" s="8">
        <f t="shared" si="7"/>
        <v>-54549.428504307667</v>
      </c>
      <c r="M71" s="8">
        <f t="shared" si="7"/>
        <v>-44054.535630384591</v>
      </c>
      <c r="N71" s="8">
        <f t="shared" si="7"/>
        <v>-36641.142056307675</v>
      </c>
      <c r="O71" s="8">
        <f t="shared" si="7"/>
        <v>-36732.855608307669</v>
      </c>
      <c r="Q71" s="8">
        <f>IFERROR(+Q66-Q69, 0)</f>
        <v>-516748.81593399995</v>
      </c>
    </row>
    <row r="72" spans="1:17" ht="15" thickTop="1" x14ac:dyDescent="0.3">
      <c r="A72" s="5"/>
      <c r="B72" s="5"/>
      <c r="C72" s="5"/>
      <c r="D72" s="4">
        <f t="shared" ref="D72:O72" si="8">IFERROR(D71/D10, 0)</f>
        <v>0</v>
      </c>
      <c r="E72" s="4">
        <f t="shared" si="8"/>
        <v>0</v>
      </c>
      <c r="F72" s="4">
        <f t="shared" si="8"/>
        <v>0</v>
      </c>
      <c r="G72" s="4">
        <f t="shared" si="8"/>
        <v>0</v>
      </c>
      <c r="H72" s="4">
        <f t="shared" si="8"/>
        <v>0</v>
      </c>
      <c r="I72" s="4">
        <f t="shared" si="8"/>
        <v>0</v>
      </c>
      <c r="J72" s="4">
        <f t="shared" si="8"/>
        <v>0</v>
      </c>
      <c r="K72" s="4">
        <f t="shared" si="8"/>
        <v>0</v>
      </c>
      <c r="L72" s="4">
        <f t="shared" si="8"/>
        <v>0</v>
      </c>
      <c r="M72" s="4">
        <f t="shared" si="8"/>
        <v>0</v>
      </c>
      <c r="N72" s="4">
        <f t="shared" si="8"/>
        <v>0</v>
      </c>
      <c r="O72" s="4">
        <f t="shared" si="8"/>
        <v>0</v>
      </c>
      <c r="P72" s="18"/>
      <c r="Q72" s="4">
        <f>IFERROR(Q71/Q10, 0)</f>
        <v>0</v>
      </c>
    </row>
    <row r="73" spans="1:17" x14ac:dyDescent="0.3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3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294</v>
      </c>
      <c r="C75" s="17"/>
      <c r="D75" s="8">
        <f t="shared" ref="D75:O75" si="9">IFERROR(SUM(D71:D74), 0)</f>
        <v>-41601.359999999993</v>
      </c>
      <c r="E75" s="8">
        <f t="shared" si="9"/>
        <v>-40690.090000000004</v>
      </c>
      <c r="F75" s="8">
        <f t="shared" si="9"/>
        <v>-37567.949999999997</v>
      </c>
      <c r="G75" s="8">
        <f t="shared" si="9"/>
        <v>-46230.25</v>
      </c>
      <c r="H75" s="8">
        <f t="shared" si="9"/>
        <v>-38788.509999999995</v>
      </c>
      <c r="I75" s="8">
        <f t="shared" si="9"/>
        <v>-38170.729999999989</v>
      </c>
      <c r="J75" s="8">
        <f t="shared" si="9"/>
        <v>-52613.535630384591</v>
      </c>
      <c r="K75" s="8">
        <f t="shared" si="9"/>
        <v>-49108.428504307667</v>
      </c>
      <c r="L75" s="8">
        <f t="shared" si="9"/>
        <v>-54549.428504307667</v>
      </c>
      <c r="M75" s="8">
        <f t="shared" si="9"/>
        <v>-44054.535630384591</v>
      </c>
      <c r="N75" s="8">
        <f t="shared" si="9"/>
        <v>-36641.142056307675</v>
      </c>
      <c r="O75" s="8">
        <f t="shared" si="9"/>
        <v>-36732.855608307669</v>
      </c>
      <c r="Q75" s="8">
        <f>IFERROR(SUM(Q71:Q74), 0)</f>
        <v>-516748.81593399995</v>
      </c>
    </row>
    <row r="76" spans="1:17" ht="15" thickTop="1" x14ac:dyDescent="0.3">
      <c r="A76" s="5"/>
      <c r="C76" s="5"/>
      <c r="D76" s="4">
        <f t="shared" ref="D76:O76" si="10">IFERROR(D75/D10, 0)</f>
        <v>0</v>
      </c>
      <c r="E76" s="4">
        <f t="shared" si="10"/>
        <v>0</v>
      </c>
      <c r="F76" s="4">
        <f t="shared" si="10"/>
        <v>0</v>
      </c>
      <c r="G76" s="4">
        <f t="shared" si="10"/>
        <v>0</v>
      </c>
      <c r="H76" s="4">
        <f t="shared" si="10"/>
        <v>0</v>
      </c>
      <c r="I76" s="4">
        <f t="shared" si="10"/>
        <v>0</v>
      </c>
      <c r="J76" s="4">
        <f t="shared" si="10"/>
        <v>0</v>
      </c>
      <c r="K76" s="4">
        <f t="shared" si="10"/>
        <v>0</v>
      </c>
      <c r="L76" s="4">
        <f t="shared" si="10"/>
        <v>0</v>
      </c>
      <c r="M76" s="4">
        <f t="shared" si="10"/>
        <v>0</v>
      </c>
      <c r="N76" s="4">
        <f t="shared" si="10"/>
        <v>0</v>
      </c>
      <c r="O76" s="4">
        <f t="shared" si="10"/>
        <v>0</v>
      </c>
      <c r="P76" s="18"/>
      <c r="Q76" s="4">
        <f>IFERROR(Q75/Q10, 0)</f>
        <v>0</v>
      </c>
    </row>
    <row r="77" spans="1:17" x14ac:dyDescent="0.3">
      <c r="A77" s="5"/>
      <c r="B77" s="28">
        <v>44575.850692245367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Q77" s="13"/>
    </row>
    <row r="78" spans="1:17" x14ac:dyDescent="0.3">
      <c r="A78" s="5"/>
      <c r="B78" s="26" t="s">
        <v>54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Q78" s="13"/>
    </row>
    <row r="79" spans="1:17" x14ac:dyDescent="0.3">
      <c r="A79" s="5"/>
      <c r="B79" s="3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Q79" s="13"/>
    </row>
    <row r="80" spans="1:17" x14ac:dyDescent="0.3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Q8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","203", " - ", "Human Resources")</f>
        <v>Department 203 - Human Resources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58630.380000000005</v>
      </c>
      <c r="E17" s="12">
        <f>SUM(OSRRefD20x_1)</f>
        <v>47897.97</v>
      </c>
      <c r="F17" s="12">
        <f>SUM(OSRRefD20x_2)</f>
        <v>47199.6</v>
      </c>
      <c r="G17" s="12">
        <f>SUM(OSRRefD20x_3)</f>
        <v>63484.42</v>
      </c>
      <c r="H17" s="12">
        <f>SUM(OSRRefD20x_4)</f>
        <v>46633.59</v>
      </c>
      <c r="I17" s="12">
        <f>SUM(OSRRefD20x_5)</f>
        <v>55888.94</v>
      </c>
      <c r="J17" s="12">
        <f>SUM(OSRRefE20x_0)</f>
        <v>54327.831462107686</v>
      </c>
      <c r="K17" s="12">
        <f>SUM(OSRRefE20x_1)</f>
        <v>46434.26516968615</v>
      </c>
      <c r="L17" s="12">
        <f>SUM(OSRRefE20x_2)</f>
        <v>46434.26516968615</v>
      </c>
      <c r="M17" s="12">
        <f>SUM(OSRRefE20x_3)</f>
        <v>54327.831462107686</v>
      </c>
      <c r="N17" s="12">
        <f>SUM(OSRRefE20x_4)</f>
        <v>58934.26516968615</v>
      </c>
      <c r="O17" s="12">
        <f>SUM(OSRRefE20x_5)</f>
        <v>46434.26516968615</v>
      </c>
      <c r="Q17" s="12">
        <f>SUM(OSRRefG20x)</f>
        <v>626627.62360296003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SUM(OSRRefD21_0x_1)</f>
        <v>13739.57</v>
      </c>
      <c r="F18" s="1">
        <f>SUM(OSRRefD21_0x_2)</f>
        <v>13275.89</v>
      </c>
      <c r="G18" s="1">
        <f>SUM(OSRRefD21_0x_3)</f>
        <v>16808.91</v>
      </c>
      <c r="H18" s="1">
        <f>SUM(OSRRefD21_0x_4)</f>
        <v>13930.62</v>
      </c>
      <c r="I18" s="1">
        <f>SUM(OSRRefD21_0x_5)</f>
        <v>16913.25</v>
      </c>
      <c r="J18" s="1">
        <f>SUM(OSRRefE21_0x_0)</f>
        <v>13249.599262107689</v>
      </c>
      <c r="K18" s="1">
        <f>SUM(OSRRefE21_0x_1)</f>
        <v>11218.47940968615</v>
      </c>
      <c r="L18" s="1">
        <f>SUM(OSRRefE21_0x_2)</f>
        <v>11218.47940968615</v>
      </c>
      <c r="M18" s="1">
        <f>SUM(OSRRefE21_0x_3)</f>
        <v>13249.599262107689</v>
      </c>
      <c r="N18" s="1">
        <f>SUM(OSRRefE21_0x_4)</f>
        <v>11218.47940968615</v>
      </c>
      <c r="O18" s="1">
        <f>SUM(OSRRefE21_0x_5)</f>
        <v>11214.47940968615</v>
      </c>
      <c r="Q18" s="2">
        <f>SUM(OSRRefD20_0x)+IFERROR(SUM(OSRRefE20_0x),0)</f>
        <v>159456.05616295995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2066.4499999999998</v>
      </c>
      <c r="F19" s="2">
        <v>2089.84</v>
      </c>
      <c r="G19" s="2">
        <v>3274.4</v>
      </c>
      <c r="H19" s="2">
        <v>2233.5300000000002</v>
      </c>
      <c r="I19" s="2">
        <v>2257.63</v>
      </c>
      <c r="J19" s="2">
        <v>1950.3104178000001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24180.594172560002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345.88</v>
      </c>
      <c r="F20" s="2">
        <v>350.94</v>
      </c>
      <c r="G20" s="2">
        <v>548.39</v>
      </c>
      <c r="H20" s="2">
        <v>374.33</v>
      </c>
      <c r="I20" s="2">
        <v>375.29</v>
      </c>
      <c r="J20" s="2">
        <v>102.251206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2882.4162711999998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6048.94</v>
      </c>
      <c r="F21" s="2">
        <v>6082.69</v>
      </c>
      <c r="G21" s="2">
        <v>6048.94</v>
      </c>
      <c r="H21" s="2">
        <v>6048.94</v>
      </c>
      <c r="I21" s="2">
        <v>6048.94</v>
      </c>
      <c r="J21" s="2">
        <v>7304.3076923076896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75891.389999999985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69.709999999999994</v>
      </c>
      <c r="F22" s="2">
        <v>70.73</v>
      </c>
      <c r="G22" s="2">
        <v>110.53</v>
      </c>
      <c r="H22" s="2">
        <v>75.45</v>
      </c>
      <c r="I22" s="2">
        <v>75.64</v>
      </c>
      <c r="J22" s="2">
        <v>69.266946000000004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833.97811920000004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1238.02</v>
      </c>
      <c r="F23" s="2">
        <v>1238.02</v>
      </c>
      <c r="G23" s="2">
        <v>1857.03</v>
      </c>
      <c r="H23" s="2">
        <v>1287.54</v>
      </c>
      <c r="I23" s="2">
        <v>1287.54</v>
      </c>
      <c r="J23" s="2">
        <v>1107.25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13903.869999999999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2636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5134</v>
      </c>
    </row>
    <row r="25" spans="1:17" s="35" customFormat="1" hidden="1" outlineLevel="1" x14ac:dyDescent="0.3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>
        <v>644.66999999999996</v>
      </c>
      <c r="I25" s="2">
        <v>654.36</v>
      </c>
      <c r="J25" s="2"/>
      <c r="K25" s="2"/>
      <c r="L25" s="2"/>
      <c r="M25" s="2"/>
      <c r="N25" s="2"/>
      <c r="O25" s="2"/>
      <c r="P25" s="9"/>
      <c r="Q25" s="2">
        <f>SUM(OSRRefD21_0_6x)+IFERROR(SUM(OSRRefE21_0_6x),0)</f>
        <v>3781.36</v>
      </c>
    </row>
    <row r="26" spans="1:17" s="35" customFormat="1" hidden="1" outlineLevel="1" x14ac:dyDescent="0.3">
      <c r="A26" s="34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1769.48</v>
      </c>
      <c r="F26" s="2">
        <v>1769.48</v>
      </c>
      <c r="G26" s="2">
        <v>2167.06</v>
      </c>
      <c r="H26" s="2">
        <v>1840.24</v>
      </c>
      <c r="I26" s="2">
        <v>1986.81</v>
      </c>
      <c r="J26" s="2">
        <v>914.52779999999996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16058.09456</v>
      </c>
    </row>
    <row r="27" spans="1:17" s="35" customFormat="1" hidden="1" outlineLevel="1" x14ac:dyDescent="0.3">
      <c r="A27" s="34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1161.08</v>
      </c>
      <c r="F27" s="2">
        <v>1161.08</v>
      </c>
      <c r="G27" s="2">
        <v>1741.62</v>
      </c>
      <c r="H27" s="2">
        <v>1207.52</v>
      </c>
      <c r="I27" s="2">
        <v>1329.74</v>
      </c>
      <c r="J27" s="2">
        <v>684.68520000000001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11322.483039999999</v>
      </c>
    </row>
    <row r="28" spans="1:17" s="35" customFormat="1" hidden="1" outlineLevel="1" x14ac:dyDescent="0.3">
      <c r="A28" s="34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100.81</v>
      </c>
      <c r="F28" s="2">
        <v>205.36</v>
      </c>
      <c r="G28" s="2">
        <v>429.04</v>
      </c>
      <c r="H28" s="2">
        <v>218.4</v>
      </c>
      <c r="I28" s="2">
        <v>261.3</v>
      </c>
      <c r="J28" s="2">
        <v>700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5467.87</v>
      </c>
    </row>
    <row r="29" spans="1:17" s="35" customFormat="1" collapsed="1" x14ac:dyDescent="0.3">
      <c r="A29" s="34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SUM(OSRRefD21_1x_1)</f>
        <v>26368.9</v>
      </c>
      <c r="F29" s="1">
        <f>SUM(OSRRefD21_1x_2)</f>
        <v>26130.02</v>
      </c>
      <c r="G29" s="1">
        <f>SUM(OSRRefD21_1x_3)</f>
        <v>33194.06</v>
      </c>
      <c r="H29" s="1">
        <f>SUM(OSRRefD21_1x_4)</f>
        <v>24484.95</v>
      </c>
      <c r="I29" s="1">
        <f>SUM(OSRRefD21_1x_5)</f>
        <v>28164.43</v>
      </c>
      <c r="J29" s="1">
        <f>SUM(OSRRefE21_1x_0)</f>
        <v>29312.232199999999</v>
      </c>
      <c r="K29" s="1">
        <f>SUM(OSRRefE21_1x_1)</f>
        <v>23449.785759999999</v>
      </c>
      <c r="L29" s="1">
        <f>SUM(OSRRefE21_1x_2)</f>
        <v>23449.785759999999</v>
      </c>
      <c r="M29" s="1">
        <f>SUM(OSRRefE21_1x_3)</f>
        <v>29312.232199999999</v>
      </c>
      <c r="N29" s="1">
        <f>SUM(OSRRefE21_1x_4)</f>
        <v>23449.785759999999</v>
      </c>
      <c r="O29" s="1">
        <f>SUM(OSRRefE21_1x_5)</f>
        <v>23449.785759999999</v>
      </c>
      <c r="Q29" s="2">
        <f>SUM(OSRRefD20_1x)+IFERROR(SUM(OSRRefE20_1x),0)</f>
        <v>322922.30744</v>
      </c>
    </row>
    <row r="30" spans="1:17" s="35" customFormat="1" hidden="1" outlineLevel="1" x14ac:dyDescent="0.3">
      <c r="A30" s="34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11378.88</v>
      </c>
      <c r="F30" s="2">
        <v>10240.99</v>
      </c>
      <c r="G30" s="2">
        <v>13085.43</v>
      </c>
      <c r="H30" s="2">
        <v>7692.12</v>
      </c>
      <c r="I30" s="2">
        <v>11242.34</v>
      </c>
      <c r="J30" s="2">
        <v>12231.25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130328.26</v>
      </c>
    </row>
    <row r="31" spans="1:17" s="35" customFormat="1" hidden="1" outlineLevel="1" x14ac:dyDescent="0.3">
      <c r="A31" s="34"/>
      <c r="B31" s="10" t="str">
        <f>CONCATENATE("          ","6002", " - ","STAFF SALARIES")</f>
        <v xml:space="preserve">          6002 - STAFF SALARIES</v>
      </c>
      <c r="C31" s="14"/>
      <c r="D31" s="2"/>
      <c r="E31" s="2"/>
      <c r="F31" s="2"/>
      <c r="G31" s="2"/>
      <c r="H31" s="2">
        <v>18.5</v>
      </c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18.5</v>
      </c>
    </row>
    <row r="32" spans="1:17" s="35" customFormat="1" hidden="1" outlineLevel="1" x14ac:dyDescent="0.3">
      <c r="A32" s="34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">
      <c r="A33" s="34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14290.77</v>
      </c>
      <c r="F33" s="2">
        <v>13719.78</v>
      </c>
      <c r="G33" s="2">
        <v>20959.38</v>
      </c>
      <c r="H33" s="2">
        <v>14748.94</v>
      </c>
      <c r="I33" s="2">
        <v>14607.07</v>
      </c>
      <c r="J33" s="2">
        <v>12230.9822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155133.38743999999</v>
      </c>
    </row>
    <row r="34" spans="1:17" s="35" customFormat="1" hidden="1" outlineLevel="1" x14ac:dyDescent="0.3">
      <c r="A34" s="34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974.25</v>
      </c>
      <c r="F34" s="2">
        <v>1613.25</v>
      </c>
      <c r="G34" s="2">
        <v>3267.25</v>
      </c>
      <c r="H34" s="2">
        <v>2025.39</v>
      </c>
      <c r="I34" s="2">
        <v>2315.02</v>
      </c>
      <c r="J34" s="2">
        <v>4850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37442.160000000003</v>
      </c>
    </row>
    <row r="35" spans="1:17" s="35" customFormat="1" hidden="1" outlineLevel="1" x14ac:dyDescent="0.3">
      <c r="A35" s="34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">
      <c r="A36" s="34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-275</v>
      </c>
      <c r="F36" s="2">
        <v>556</v>
      </c>
      <c r="G36" s="2">
        <v>-4118</v>
      </c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">
      <c r="A37" s="34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">
      <c r="A38" s="34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">
      <c r="A39" s="34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">
      <c r="A40" s="34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87.76</v>
      </c>
      <c r="H40" s="1">
        <f>SUM(OSRRefD21_2x_4)</f>
        <v>255.5</v>
      </c>
      <c r="I40" s="1">
        <f>SUM(OSRRefD21_2x_5)</f>
        <v>0</v>
      </c>
      <c r="J40" s="1">
        <f>SUM(OSRRefE21_2x_0)</f>
        <v>150</v>
      </c>
      <c r="K40" s="1">
        <f>SUM(OSRRefE21_2x_1)</f>
        <v>150</v>
      </c>
      <c r="L40" s="1">
        <f>SUM(OSRRefE21_2x_2)</f>
        <v>150</v>
      </c>
      <c r="M40" s="1">
        <f>SUM(OSRRefE21_2x_3)</f>
        <v>150</v>
      </c>
      <c r="N40" s="1">
        <f>SUM(OSRRefE21_2x_4)</f>
        <v>150</v>
      </c>
      <c r="O40" s="1">
        <f>SUM(OSRRefE21_2x_5)</f>
        <v>150</v>
      </c>
      <c r="Q40" s="2">
        <f>SUM(OSRRefD20_2x)+IFERROR(SUM(OSRRefE20_2x),0)</f>
        <v>1243.26</v>
      </c>
    </row>
    <row r="41" spans="1:17" s="35" customFormat="1" hidden="1" outlineLevel="1" x14ac:dyDescent="0.3">
      <c r="A41" s="34"/>
      <c r="B41" s="10" t="str">
        <f>CONCATENATE("          ","6362", " - ","ADVERTISING EXPENSE")</f>
        <v xml:space="preserve">          6362 - ADVERTISING EXPENSE</v>
      </c>
      <c r="C41" s="14"/>
      <c r="D41" s="2"/>
      <c r="E41" s="2"/>
      <c r="F41" s="2"/>
      <c r="G41" s="2">
        <v>87.76</v>
      </c>
      <c r="H41" s="2">
        <v>255.5</v>
      </c>
      <c r="I41" s="2"/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1243.26</v>
      </c>
    </row>
    <row r="42" spans="1:17" s="35" customFormat="1" collapsed="1" x14ac:dyDescent="0.3">
      <c r="A42" s="34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SUM(OSRRefE21_3x_0)</f>
        <v>250</v>
      </c>
      <c r="K42" s="1">
        <f>SUM(OSRRefE21_3x_1)</f>
        <v>250</v>
      </c>
      <c r="L42" s="1">
        <f>SUM(OSRRefE21_3x_2)</f>
        <v>250</v>
      </c>
      <c r="M42" s="1">
        <f>SUM(OSRRefE21_3x_3)</f>
        <v>250</v>
      </c>
      <c r="N42" s="1">
        <f>SUM(OSRRefE21_3x_4)</f>
        <v>12750</v>
      </c>
      <c r="O42" s="1">
        <f>SUM(OSRRefE21_3x_5)</f>
        <v>250</v>
      </c>
      <c r="Q42" s="2">
        <f>SUM(OSRRefD20_3x)+IFERROR(SUM(OSRRefE20_3x),0)</f>
        <v>14000</v>
      </c>
    </row>
    <row r="43" spans="1:17" s="35" customFormat="1" hidden="1" outlineLevel="1" x14ac:dyDescent="0.3">
      <c r="A43" s="34"/>
      <c r="B43" s="10" t="str">
        <f>CONCATENATE("          ","6277", " - ","EMPLOYEE APPRECIATION")</f>
        <v xml:space="preserve">          6277 - EMPLOYEE APPRECIATION</v>
      </c>
      <c r="C43" s="14"/>
      <c r="D43" s="2"/>
      <c r="E43" s="2"/>
      <c r="F43" s="2"/>
      <c r="G43" s="2"/>
      <c r="H43" s="2"/>
      <c r="I43" s="2"/>
      <c r="J43" s="2">
        <v>250</v>
      </c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14000</v>
      </c>
    </row>
    <row r="44" spans="1:17" s="35" customFormat="1" collapsed="1" x14ac:dyDescent="0.3">
      <c r="A44" s="34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SUM(OSRRefE21_4x_0)</f>
        <v>75</v>
      </c>
      <c r="K44" s="1">
        <f>SUM(OSRRefE21_4x_1)</f>
        <v>75</v>
      </c>
      <c r="L44" s="1">
        <f>SUM(OSRRefE21_4x_2)</f>
        <v>75</v>
      </c>
      <c r="M44" s="1">
        <f>SUM(OSRRefE21_4x_3)</f>
        <v>75</v>
      </c>
      <c r="N44" s="1">
        <f>SUM(OSRRefE21_4x_4)</f>
        <v>75</v>
      </c>
      <c r="O44" s="1">
        <f>SUM(OSRRefE21_4x_5)</f>
        <v>75</v>
      </c>
      <c r="Q44" s="2">
        <f>SUM(OSRRefD20_4x)+IFERROR(SUM(OSRRefE20_4x),0)</f>
        <v>450</v>
      </c>
    </row>
    <row r="45" spans="1:17" s="35" customFormat="1" hidden="1" outlineLevel="1" x14ac:dyDescent="0.3">
      <c r="A45" s="34"/>
      <c r="B45" s="10" t="str">
        <f>CONCATENATE("          ","6351", " - ","EQUIPMENT RENTAL")</f>
        <v xml:space="preserve">          6351 - EQUIPMENT RENTAL</v>
      </c>
      <c r="C45" s="14"/>
      <c r="D45" s="2"/>
      <c r="E45" s="2"/>
      <c r="F45" s="2"/>
      <c r="G45" s="2"/>
      <c r="H45" s="2"/>
      <c r="I45" s="2"/>
      <c r="J45" s="2">
        <v>75</v>
      </c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450</v>
      </c>
    </row>
    <row r="46" spans="1:17" s="35" customFormat="1" collapsed="1" x14ac:dyDescent="0.3">
      <c r="A46" s="34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SUM(OSRRefD21_5x_1)</f>
        <v>74.53</v>
      </c>
      <c r="F46" s="1">
        <f>SUM(OSRRefD21_5x_2)</f>
        <v>52.08</v>
      </c>
      <c r="G46" s="1">
        <f>SUM(OSRRefD21_5x_3)</f>
        <v>41.38</v>
      </c>
      <c r="H46" s="1">
        <f>SUM(OSRRefD21_5x_4)</f>
        <v>1.06</v>
      </c>
      <c r="I46" s="1">
        <f>SUM(OSRRefD21_5x_5)</f>
        <v>24.37</v>
      </c>
      <c r="J46" s="1">
        <f>SUM(OSRRefE21_5x_0)</f>
        <v>85</v>
      </c>
      <c r="K46" s="1">
        <f>SUM(OSRRefE21_5x_1)</f>
        <v>85</v>
      </c>
      <c r="L46" s="1">
        <f>SUM(OSRRefE21_5x_2)</f>
        <v>85</v>
      </c>
      <c r="M46" s="1">
        <f>SUM(OSRRefE21_5x_3)</f>
        <v>85</v>
      </c>
      <c r="N46" s="1">
        <f>SUM(OSRRefE21_5x_4)</f>
        <v>85</v>
      </c>
      <c r="O46" s="1">
        <f>SUM(OSRRefE21_5x_5)</f>
        <v>85</v>
      </c>
      <c r="Q46" s="2">
        <f>SUM(OSRRefD20_5x)+IFERROR(SUM(OSRRefE20_5x),0)</f>
        <v>705.15</v>
      </c>
    </row>
    <row r="47" spans="1:17" s="35" customFormat="1" hidden="1" outlineLevel="1" x14ac:dyDescent="0.3">
      <c r="A47" s="34"/>
      <c r="B47" s="10" t="str">
        <f>CONCATENATE("          ","6307", " - ","POSTAGE")</f>
        <v xml:space="preserve">          6307 - POSTAGE</v>
      </c>
      <c r="C47" s="14"/>
      <c r="D47" s="2">
        <v>1.73</v>
      </c>
      <c r="E47" s="2">
        <v>74.53</v>
      </c>
      <c r="F47" s="2">
        <v>52.08</v>
      </c>
      <c r="G47" s="2">
        <v>41.38</v>
      </c>
      <c r="H47" s="2">
        <v>1.06</v>
      </c>
      <c r="I47" s="2">
        <v>24.37</v>
      </c>
      <c r="J47" s="2">
        <v>85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705.15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SUM(OSRRefD21_6x_1)</f>
        <v>200.5</v>
      </c>
      <c r="F48" s="1">
        <f>SUM(OSRRefD21_6x_2)</f>
        <v>890.75</v>
      </c>
      <c r="G48" s="1">
        <f>SUM(OSRRefD21_6x_3)</f>
        <v>188</v>
      </c>
      <c r="H48" s="1">
        <f>SUM(OSRRefD21_6x_4)</f>
        <v>182</v>
      </c>
      <c r="I48" s="1">
        <f>SUM(OSRRefD21_6x_5)</f>
        <v>189.5</v>
      </c>
      <c r="J48" s="1">
        <f>SUM(OSRRefE21_6x_0)</f>
        <v>0</v>
      </c>
      <c r="K48" s="1">
        <f>SUM(OSRRefE21_6x_1)</f>
        <v>0</v>
      </c>
      <c r="L48" s="1">
        <f>SUM(OSRRefE21_6x_2)</f>
        <v>0</v>
      </c>
      <c r="M48" s="1">
        <f>SUM(OSRRefE21_6x_3)</f>
        <v>0</v>
      </c>
      <c r="N48" s="1">
        <f>SUM(OSRRefE21_6x_4)</f>
        <v>0</v>
      </c>
      <c r="O48" s="1">
        <f>SUM(OSRRefE21_6x_5)</f>
        <v>0</v>
      </c>
      <c r="Q48" s="2">
        <f>SUM(OSRRefD20_6x)+IFERROR(SUM(OSRRefE20_6x),0)</f>
        <v>2680.25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>
        <v>200.5</v>
      </c>
      <c r="F49" s="2">
        <v>890.75</v>
      </c>
      <c r="G49" s="2">
        <v>188</v>
      </c>
      <c r="H49" s="2">
        <v>182</v>
      </c>
      <c r="I49" s="2">
        <v>189.5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2680.25</v>
      </c>
    </row>
    <row r="50" spans="1:17" s="35" customFormat="1" collapsed="1" x14ac:dyDescent="0.3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SUM(OSRRefD21_7x_1)</f>
        <v>88.99</v>
      </c>
      <c r="F50" s="1">
        <f>SUM(OSRRefD21_7x_2)</f>
        <v>88.99</v>
      </c>
      <c r="G50" s="1">
        <f>SUM(OSRRefD21_7x_3)</f>
        <v>88.99</v>
      </c>
      <c r="H50" s="1">
        <f>SUM(OSRRefD21_7x_4)</f>
        <v>88.99</v>
      </c>
      <c r="I50" s="1">
        <f>SUM(OSRRefD21_7x_5)</f>
        <v>88.99</v>
      </c>
      <c r="J50" s="1">
        <f>SUM(OSRRefE21_7x_0)</f>
        <v>90</v>
      </c>
      <c r="K50" s="1">
        <f>SUM(OSRRefE21_7x_1)</f>
        <v>90</v>
      </c>
      <c r="L50" s="1">
        <f>SUM(OSRRefE21_7x_2)</f>
        <v>90</v>
      </c>
      <c r="M50" s="1">
        <f>SUM(OSRRefE21_7x_3)</f>
        <v>90</v>
      </c>
      <c r="N50" s="1">
        <f>SUM(OSRRefE21_7x_4)</f>
        <v>90</v>
      </c>
      <c r="O50" s="1">
        <f>SUM(OSRRefE21_7x_5)</f>
        <v>90</v>
      </c>
      <c r="Q50" s="2">
        <f>SUM(OSRRefD20_7x)+IFERROR(SUM(OSRRefE20_7x),0)</f>
        <v>1073.94</v>
      </c>
    </row>
    <row r="51" spans="1:17" s="35" customFormat="1" hidden="1" outlineLevel="1" x14ac:dyDescent="0.3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88.99</v>
      </c>
      <c r="F51" s="2">
        <v>88.99</v>
      </c>
      <c r="G51" s="2">
        <v>88.99</v>
      </c>
      <c r="H51" s="2">
        <v>88.99</v>
      </c>
      <c r="I51" s="2">
        <v>88.99</v>
      </c>
      <c r="J51" s="2">
        <v>90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1073.94</v>
      </c>
    </row>
    <row r="52" spans="1:17" s="35" customFormat="1" collapsed="1" x14ac:dyDescent="0.3">
      <c r="A52" s="34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SUM(OSRRefD21_8x_1)</f>
        <v>0</v>
      </c>
      <c r="F52" s="1">
        <f>SUM(OSRRefD21_8x_2)</f>
        <v>1253.8499999999999</v>
      </c>
      <c r="G52" s="1">
        <f>SUM(OSRRefD21_8x_3)</f>
        <v>3410.52</v>
      </c>
      <c r="H52" s="1">
        <f>SUM(OSRRefD21_8x_4)</f>
        <v>0</v>
      </c>
      <c r="I52" s="1">
        <f>SUM(OSRRefD21_8x_5)</f>
        <v>693.21</v>
      </c>
      <c r="J52" s="1">
        <f>SUM(OSRRefE21_8x_0)</f>
        <v>1666</v>
      </c>
      <c r="K52" s="1">
        <f>SUM(OSRRefE21_8x_1)</f>
        <v>1666</v>
      </c>
      <c r="L52" s="1">
        <f>SUM(OSRRefE21_8x_2)</f>
        <v>1666</v>
      </c>
      <c r="M52" s="1">
        <f>SUM(OSRRefE21_8x_3)</f>
        <v>1666</v>
      </c>
      <c r="N52" s="1">
        <f>SUM(OSRRefE21_8x_4)</f>
        <v>1666</v>
      </c>
      <c r="O52" s="1">
        <f>SUM(OSRRefE21_8x_5)</f>
        <v>1674</v>
      </c>
      <c r="Q52" s="2">
        <f>SUM(OSRRefD20_8x)+IFERROR(SUM(OSRRefE20_8x),0)</f>
        <v>20311.580000000002</v>
      </c>
    </row>
    <row r="53" spans="1:17" s="35" customFormat="1" hidden="1" outlineLevel="1" x14ac:dyDescent="0.3">
      <c r="A53" s="34"/>
      <c r="B53" s="10" t="str">
        <f>CONCATENATE("          ","6332", " - ","CONSULTANT FEES")</f>
        <v xml:space="preserve">          6332 - CONSULTANT FEES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3">
      <c r="A54" s="34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/>
      <c r="F54" s="2"/>
      <c r="G54" s="2"/>
      <c r="H54" s="2"/>
      <c r="I54" s="2"/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8257</v>
      </c>
    </row>
    <row r="55" spans="1:17" s="35" customFormat="1" hidden="1" outlineLevel="1" x14ac:dyDescent="0.3">
      <c r="A55" s="34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/>
      <c r="F55" s="2">
        <v>1253.8499999999999</v>
      </c>
      <c r="G55" s="2">
        <v>3410.52</v>
      </c>
      <c r="H55" s="2"/>
      <c r="I55" s="2">
        <v>693.21</v>
      </c>
      <c r="J55" s="2">
        <v>833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12054.58</v>
      </c>
    </row>
    <row r="56" spans="1:17" s="35" customFormat="1" collapsed="1" x14ac:dyDescent="0.3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SUM(OSRRefD21_9x_1)</f>
        <v>5273.52</v>
      </c>
      <c r="F56" s="1">
        <f>SUM(OSRRefD21_9x_2)</f>
        <v>4894.6899999999996</v>
      </c>
      <c r="G56" s="1">
        <f>SUM(OSRRefD21_9x_3)</f>
        <v>5962.94</v>
      </c>
      <c r="H56" s="1">
        <f>SUM(OSRRefD21_9x_4)</f>
        <v>6605.92</v>
      </c>
      <c r="I56" s="1">
        <f>SUM(OSRRefD21_9x_5)</f>
        <v>8154.97</v>
      </c>
      <c r="J56" s="1">
        <f>SUM(OSRRefE21_9x_0)</f>
        <v>7000</v>
      </c>
      <c r="K56" s="1">
        <f>SUM(OSRRefE21_9x_1)</f>
        <v>7000</v>
      </c>
      <c r="L56" s="1">
        <f>SUM(OSRRefE21_9x_2)</f>
        <v>7000</v>
      </c>
      <c r="M56" s="1">
        <f>SUM(OSRRefE21_9x_3)</f>
        <v>7000</v>
      </c>
      <c r="N56" s="1">
        <f>SUM(OSRRefE21_9x_4)</f>
        <v>7000</v>
      </c>
      <c r="O56" s="1">
        <f>SUM(OSRRefE21_9x_5)</f>
        <v>7000</v>
      </c>
      <c r="Q56" s="2">
        <f>SUM(OSRRefD20_9x)+IFERROR(SUM(OSRRefE20_9x),0)</f>
        <v>76516.97</v>
      </c>
    </row>
    <row r="57" spans="1:17" s="35" customFormat="1" hidden="1" outlineLevel="1" x14ac:dyDescent="0.3">
      <c r="A57" s="34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5174.93</v>
      </c>
      <c r="F57" s="2">
        <v>4894.6899999999996</v>
      </c>
      <c r="G57" s="2">
        <v>5962.94</v>
      </c>
      <c r="H57" s="2">
        <v>6406.17</v>
      </c>
      <c r="I57" s="2">
        <v>8154.97</v>
      </c>
      <c r="J57" s="2">
        <v>7000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76218.63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/>
      <c r="E58" s="2">
        <v>98.59</v>
      </c>
      <c r="F58" s="2"/>
      <c r="G58" s="2"/>
      <c r="H58" s="2">
        <v>199.75</v>
      </c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298.34000000000003</v>
      </c>
    </row>
    <row r="59" spans="1:17" s="35" customFormat="1" collapsed="1" x14ac:dyDescent="0.3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219</v>
      </c>
      <c r="E59" s="1">
        <f>SUM(OSRRefD21_10x_1)</f>
        <v>0</v>
      </c>
      <c r="F59" s="1">
        <f>SUM(OSRRefD21_10x_2)</f>
        <v>0</v>
      </c>
      <c r="G59" s="1">
        <f>SUM(OSRRefD21_10x_3)</f>
        <v>438</v>
      </c>
      <c r="H59" s="1">
        <f>SUM(OSRRefD21_10x_4)</f>
        <v>0</v>
      </c>
      <c r="I59" s="1">
        <f>SUM(OSRRefD21_10x_5)</f>
        <v>795</v>
      </c>
      <c r="J59" s="1">
        <f>SUM(OSRRefE21_10x_0)</f>
        <v>0</v>
      </c>
      <c r="K59" s="1">
        <f>SUM(OSRRefE21_10x_1)</f>
        <v>0</v>
      </c>
      <c r="L59" s="1">
        <f>SUM(OSRRefE21_10x_2)</f>
        <v>0</v>
      </c>
      <c r="M59" s="1">
        <f>SUM(OSRRefE21_10x_3)</f>
        <v>0</v>
      </c>
      <c r="N59" s="1">
        <f>SUM(OSRRefE21_10x_4)</f>
        <v>0</v>
      </c>
      <c r="O59" s="1">
        <f>SUM(OSRRefE21_10x_5)</f>
        <v>0</v>
      </c>
      <c r="Q59" s="2">
        <f>SUM(OSRRefD20_10x)+IFERROR(SUM(OSRRefE20_10x),0)</f>
        <v>1452</v>
      </c>
    </row>
    <row r="60" spans="1:17" s="35" customFormat="1" hidden="1" outlineLevel="1" x14ac:dyDescent="0.3">
      <c r="A60" s="34"/>
      <c r="B60" s="10" t="str">
        <f>CONCATENATE("          ","6258", " - ","MEMBERSHIP DUES")</f>
        <v xml:space="preserve">          6258 - MEMBERSHIP DUES</v>
      </c>
      <c r="C60" s="14"/>
      <c r="D60" s="2">
        <v>219</v>
      </c>
      <c r="E60" s="2"/>
      <c r="F60" s="2"/>
      <c r="G60" s="2">
        <v>438</v>
      </c>
      <c r="H60" s="2"/>
      <c r="I60" s="2">
        <v>795</v>
      </c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1452</v>
      </c>
    </row>
    <row r="61" spans="1:17" s="35" customFormat="1" collapsed="1" x14ac:dyDescent="0.3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2798.89</v>
      </c>
      <c r="E61" s="1">
        <f>SUM(OSRRefD21_11x_1)</f>
        <v>1785.91</v>
      </c>
      <c r="F61" s="1">
        <f>SUM(OSRRefD21_11x_2)</f>
        <v>254.38</v>
      </c>
      <c r="G61" s="1">
        <f>SUM(OSRRefD21_11x_3)</f>
        <v>1896.1100000000001</v>
      </c>
      <c r="H61" s="1">
        <f>SUM(OSRRefD21_11x_4)</f>
        <v>505.25</v>
      </c>
      <c r="I61" s="1">
        <f>SUM(OSRRefD21_11x_5)</f>
        <v>583.22</v>
      </c>
      <c r="J61" s="1">
        <f>SUM(OSRRefE21_11x_0)</f>
        <v>1834</v>
      </c>
      <c r="K61" s="1">
        <f>SUM(OSRRefE21_11x_1)</f>
        <v>1834</v>
      </c>
      <c r="L61" s="1">
        <f>SUM(OSRRefE21_11x_2)</f>
        <v>1834</v>
      </c>
      <c r="M61" s="1">
        <f>SUM(OSRRefE21_11x_3)</f>
        <v>1834</v>
      </c>
      <c r="N61" s="1">
        <f>SUM(OSRRefE21_11x_4)</f>
        <v>1834</v>
      </c>
      <c r="O61" s="1">
        <f>SUM(OSRRefE21_11x_5)</f>
        <v>1826</v>
      </c>
      <c r="Q61" s="2">
        <f>SUM(OSRRefD20_11x)+IFERROR(SUM(OSRRefE20_11x),0)</f>
        <v>18819.760000000002</v>
      </c>
    </row>
    <row r="62" spans="1:17" s="35" customFormat="1" hidden="1" outlineLevel="1" x14ac:dyDescent="0.3">
      <c r="A62" s="34"/>
      <c r="B62" s="10" t="str">
        <f>CONCATENATE("          ","6235", " - ","COVID-19 EXPENSES")</f>
        <v xml:space="preserve">          6235 - COVID-19 EXPENSES</v>
      </c>
      <c r="C62" s="14"/>
      <c r="D62" s="2">
        <v>2447.77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2447.77</v>
      </c>
    </row>
    <row r="63" spans="1:17" s="35" customFormat="1" hidden="1" outlineLevel="1" x14ac:dyDescent="0.3">
      <c r="A63" s="34"/>
      <c r="B63" s="10" t="str">
        <f>CONCATENATE("          ","6241", " - ","OFFICE EXPENSE")</f>
        <v xml:space="preserve">          6241 - OFFICE EXPENSE</v>
      </c>
      <c r="C63" s="14"/>
      <c r="D63" s="2">
        <v>176.12</v>
      </c>
      <c r="E63" s="2">
        <v>549.22</v>
      </c>
      <c r="F63" s="2">
        <v>79.38</v>
      </c>
      <c r="G63" s="2">
        <v>148.11000000000001</v>
      </c>
      <c r="H63" s="2">
        <v>455.25</v>
      </c>
      <c r="I63" s="2">
        <v>583.22</v>
      </c>
      <c r="J63" s="2">
        <v>1417</v>
      </c>
      <c r="K63" s="2">
        <v>1417</v>
      </c>
      <c r="L63" s="2">
        <v>1417</v>
      </c>
      <c r="M63" s="2">
        <v>1417</v>
      </c>
      <c r="N63" s="2">
        <v>1417</v>
      </c>
      <c r="O63" s="2">
        <v>1413</v>
      </c>
      <c r="P63" s="9"/>
      <c r="Q63" s="2">
        <f>SUM(OSRRefD21_11_1x)+IFERROR(SUM(OSRRefE21_11_1x),0)</f>
        <v>10489.3</v>
      </c>
    </row>
    <row r="64" spans="1:17" s="35" customFormat="1" hidden="1" outlineLevel="1" x14ac:dyDescent="0.3">
      <c r="A64" s="34"/>
      <c r="B64" s="10" t="str">
        <f>CONCATENATE("          ","6244", " - ","SAFETY SUPPLY EXPENSE")</f>
        <v xml:space="preserve">          6244 - SAFETY SUPPLY EXPENSE</v>
      </c>
      <c r="C64" s="14"/>
      <c r="D64" s="2">
        <v>175</v>
      </c>
      <c r="E64" s="2">
        <v>25</v>
      </c>
      <c r="F64" s="2">
        <v>175</v>
      </c>
      <c r="G64" s="2">
        <v>175</v>
      </c>
      <c r="H64" s="2">
        <v>50</v>
      </c>
      <c r="I64" s="2"/>
      <c r="J64" s="2">
        <v>417</v>
      </c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3098</v>
      </c>
    </row>
    <row r="65" spans="1:17" s="35" customFormat="1" hidden="1" outlineLevel="1" x14ac:dyDescent="0.3">
      <c r="A65" s="34"/>
      <c r="B65" s="10" t="str">
        <f>CONCATENATE("          ","6248", " - ","UNIFORMS")</f>
        <v xml:space="preserve">          6248 - UNIFORMS</v>
      </c>
      <c r="C65" s="14"/>
      <c r="D65" s="2">
        <v>0</v>
      </c>
      <c r="E65" s="2">
        <v>1211.69</v>
      </c>
      <c r="F65" s="2"/>
      <c r="G65" s="2">
        <v>1573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SUM(OSRRefD21_11_3x)+IFERROR(SUM(OSRRefE21_11_3x),0)</f>
        <v>2784.69</v>
      </c>
    </row>
    <row r="66" spans="1:17" s="35" customFormat="1" collapsed="1" x14ac:dyDescent="0.3">
      <c r="A66" s="34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SUM(OSRRefD21_12x_0)</f>
        <v>342.3</v>
      </c>
      <c r="E66" s="1">
        <f>SUM(OSRRefD21_12x_1)</f>
        <v>366.05</v>
      </c>
      <c r="F66" s="1">
        <f>SUM(OSRRefD21_12x_2)</f>
        <v>358.95</v>
      </c>
      <c r="G66" s="1">
        <f>SUM(OSRRefD21_12x_3)</f>
        <v>892.75</v>
      </c>
      <c r="H66" s="1">
        <f>SUM(OSRRefD21_12x_4)</f>
        <v>579.29999999999995</v>
      </c>
      <c r="I66" s="1">
        <f>SUM(OSRRefD21_12x_5)</f>
        <v>282</v>
      </c>
      <c r="J66" s="1">
        <f>SUM(OSRRefE21_12x_0)</f>
        <v>283</v>
      </c>
      <c r="K66" s="1">
        <f>SUM(OSRRefE21_12x_1)</f>
        <v>283</v>
      </c>
      <c r="L66" s="1">
        <f>SUM(OSRRefE21_12x_2)</f>
        <v>283</v>
      </c>
      <c r="M66" s="1">
        <f>SUM(OSRRefE21_12x_3)</f>
        <v>283</v>
      </c>
      <c r="N66" s="1">
        <f>SUM(OSRRefE21_12x_4)</f>
        <v>283</v>
      </c>
      <c r="O66" s="1">
        <f>SUM(OSRRefE21_12x_5)</f>
        <v>283</v>
      </c>
      <c r="Q66" s="2">
        <f>SUM(OSRRefD20_12x)+IFERROR(SUM(OSRRefE20_12x),0)</f>
        <v>4519.3500000000004</v>
      </c>
    </row>
    <row r="67" spans="1:17" s="35" customFormat="1" hidden="1" outlineLevel="1" x14ac:dyDescent="0.3">
      <c r="A67" s="34"/>
      <c r="B67" s="10" t="str">
        <f>CONCATENATE("          ","6309", " - ","TELEPHONE")</f>
        <v xml:space="preserve">          6309 - TELEPHONE</v>
      </c>
      <c r="C67" s="14"/>
      <c r="D67" s="2">
        <v>342.3</v>
      </c>
      <c r="E67" s="2">
        <v>366.05</v>
      </c>
      <c r="F67" s="2">
        <v>358.95</v>
      </c>
      <c r="G67" s="2">
        <v>892.75</v>
      </c>
      <c r="H67" s="2">
        <v>579.29999999999995</v>
      </c>
      <c r="I67" s="2">
        <v>282</v>
      </c>
      <c r="J67" s="2">
        <v>283</v>
      </c>
      <c r="K67" s="2">
        <v>283</v>
      </c>
      <c r="L67" s="2">
        <v>283</v>
      </c>
      <c r="M67" s="2">
        <v>283</v>
      </c>
      <c r="N67" s="2">
        <v>283</v>
      </c>
      <c r="O67" s="2">
        <v>283</v>
      </c>
      <c r="P67" s="9"/>
      <c r="Q67" s="2">
        <f>SUM(OSRRefD21_12_0x)+IFERROR(SUM(OSRRefE21_12_0x),0)</f>
        <v>4519.3500000000004</v>
      </c>
    </row>
    <row r="68" spans="1:17" s="35" customFormat="1" collapsed="1" x14ac:dyDescent="0.3">
      <c r="A68" s="34"/>
      <c r="B68" s="14" t="str">
        <f>CONCATENATE("     ","Training                                          ")</f>
        <v xml:space="preserve">     Training                                          </v>
      </c>
      <c r="C68" s="14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475</v>
      </c>
      <c r="H68" s="1">
        <f>SUM(OSRRefD21_13x_4)</f>
        <v>0</v>
      </c>
      <c r="I68" s="1">
        <f>SUM(OSRRefD21_13x_5)</f>
        <v>0</v>
      </c>
      <c r="J68" s="1">
        <f>SUM(OSRRefE21_13x_0)</f>
        <v>333</v>
      </c>
      <c r="K68" s="1">
        <f>SUM(OSRRefE21_13x_1)</f>
        <v>333</v>
      </c>
      <c r="L68" s="1">
        <f>SUM(OSRRefE21_13x_2)</f>
        <v>333</v>
      </c>
      <c r="M68" s="1">
        <f>SUM(OSRRefE21_13x_3)</f>
        <v>333</v>
      </c>
      <c r="N68" s="1">
        <f>SUM(OSRRefE21_13x_4)</f>
        <v>333</v>
      </c>
      <c r="O68" s="1">
        <f>SUM(OSRRefE21_13x_5)</f>
        <v>337</v>
      </c>
      <c r="Q68" s="2">
        <f>SUM(OSRRefD20_13x)+IFERROR(SUM(OSRRefE20_13x),0)</f>
        <v>2477</v>
      </c>
    </row>
    <row r="69" spans="1:17" s="35" customFormat="1" hidden="1" outlineLevel="1" x14ac:dyDescent="0.3">
      <c r="A69" s="34"/>
      <c r="B69" s="10" t="str">
        <f>CONCATENATE("          ","6376", " - ","TRAINING")</f>
        <v xml:space="preserve">          6376 - TRAINING</v>
      </c>
      <c r="C69" s="14"/>
      <c r="D69" s="2"/>
      <c r="E69" s="2"/>
      <c r="F69" s="2"/>
      <c r="G69" s="2">
        <v>475</v>
      </c>
      <c r="H69" s="2"/>
      <c r="I69" s="2"/>
      <c r="J69" s="2">
        <v>333</v>
      </c>
      <c r="K69" s="2">
        <v>333</v>
      </c>
      <c r="L69" s="2">
        <v>333</v>
      </c>
      <c r="M69" s="2">
        <v>333</v>
      </c>
      <c r="N69" s="2">
        <v>333</v>
      </c>
      <c r="O69" s="2">
        <v>337</v>
      </c>
      <c r="P69" s="9"/>
      <c r="Q69" s="2">
        <f>SUM(OSRRefD21_13_0x)+IFERROR(SUM(OSRRefE21_13_0x),0)</f>
        <v>2477</v>
      </c>
    </row>
    <row r="70" spans="1:17" s="29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3"/>
      <c r="B71" s="16" t="s">
        <v>293</v>
      </c>
      <c r="C71" s="22"/>
      <c r="D71" s="3">
        <f t="shared" ref="D71:I71" si="4">0</f>
        <v>0</v>
      </c>
      <c r="E71" s="3">
        <f t="shared" si="4"/>
        <v>0</v>
      </c>
      <c r="F71" s="3">
        <f t="shared" si="4"/>
        <v>0</v>
      </c>
      <c r="G71" s="3">
        <f t="shared" si="4"/>
        <v>0</v>
      </c>
      <c r="H71" s="3">
        <f t="shared" si="4"/>
        <v>0</v>
      </c>
      <c r="I71" s="3">
        <f t="shared" si="4"/>
        <v>0</v>
      </c>
      <c r="J71" s="3"/>
      <c r="K71" s="3"/>
      <c r="L71" s="3"/>
      <c r="M71" s="3"/>
      <c r="N71" s="3"/>
      <c r="O71" s="3"/>
      <c r="Q71" s="2">
        <f>SUM(OSRRefD23_0x)+IFERROR(SUM(OSRRefE23_0x),0)</f>
        <v>0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7">
        <f t="shared" ref="D73:O73" si="5">IFERROR(+D14-D17+D71, 0)</f>
        <v>-58630.380000000005</v>
      </c>
      <c r="E73" s="7">
        <f t="shared" si="5"/>
        <v>-47897.97</v>
      </c>
      <c r="F73" s="7">
        <f t="shared" si="5"/>
        <v>-47199.6</v>
      </c>
      <c r="G73" s="7">
        <f t="shared" si="5"/>
        <v>-63484.42</v>
      </c>
      <c r="H73" s="7">
        <f t="shared" si="5"/>
        <v>-46633.59</v>
      </c>
      <c r="I73" s="7">
        <f t="shared" si="5"/>
        <v>-55888.94</v>
      </c>
      <c r="J73" s="7">
        <f t="shared" si="5"/>
        <v>-54327.831462107686</v>
      </c>
      <c r="K73" s="7">
        <f t="shared" si="5"/>
        <v>-46434.26516968615</v>
      </c>
      <c r="L73" s="7">
        <f t="shared" si="5"/>
        <v>-46434.26516968615</v>
      </c>
      <c r="M73" s="7">
        <f t="shared" si="5"/>
        <v>-54327.831462107686</v>
      </c>
      <c r="N73" s="7">
        <f t="shared" si="5"/>
        <v>-58934.26516968615</v>
      </c>
      <c r="O73" s="7">
        <f t="shared" si="5"/>
        <v>-46434.26516968615</v>
      </c>
      <c r="Q73" s="7">
        <f>IFERROR(+Q14-Q17+Q71, 0)</f>
        <v>-626627.62360296003</v>
      </c>
    </row>
    <row r="74" spans="1:17" s="6" customFormat="1" x14ac:dyDescent="0.3">
      <c r="B74" s="16"/>
      <c r="C74" s="16"/>
      <c r="D74" s="4">
        <f t="shared" ref="D74:O74" si="6">IFERROR(D73/D10, 0)</f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8">
        <f t="shared" ref="D78:O78" si="7">IFERROR(+D73-D76, 0)</f>
        <v>-58630.380000000005</v>
      </c>
      <c r="E78" s="8">
        <f t="shared" si="7"/>
        <v>-47897.97</v>
      </c>
      <c r="F78" s="8">
        <f t="shared" si="7"/>
        <v>-47199.6</v>
      </c>
      <c r="G78" s="8">
        <f t="shared" si="7"/>
        <v>-63484.42</v>
      </c>
      <c r="H78" s="8">
        <f t="shared" si="7"/>
        <v>-46633.59</v>
      </c>
      <c r="I78" s="8">
        <f t="shared" si="7"/>
        <v>-55888.94</v>
      </c>
      <c r="J78" s="8">
        <f t="shared" si="7"/>
        <v>-54327.831462107686</v>
      </c>
      <c r="K78" s="8">
        <f t="shared" si="7"/>
        <v>-46434.26516968615</v>
      </c>
      <c r="L78" s="8">
        <f t="shared" si="7"/>
        <v>-46434.26516968615</v>
      </c>
      <c r="M78" s="8">
        <f t="shared" si="7"/>
        <v>-54327.831462107686</v>
      </c>
      <c r="N78" s="8">
        <f t="shared" si="7"/>
        <v>-58934.26516968615</v>
      </c>
      <c r="O78" s="8">
        <f t="shared" si="7"/>
        <v>-46434.26516968615</v>
      </c>
      <c r="Q78" s="8">
        <f>IFERROR(+Q73-Q76, 0)</f>
        <v>-626627.62360296003</v>
      </c>
    </row>
    <row r="79" spans="1:17" ht="15" thickTop="1" x14ac:dyDescent="0.3">
      <c r="A79" s="5"/>
      <c r="B79" s="5"/>
      <c r="C79" s="5"/>
      <c r="D79" s="4">
        <f t="shared" ref="D79:O79" si="8">IFERROR(D78/D10, 0)</f>
        <v>0</v>
      </c>
      <c r="E79" s="4">
        <f t="shared" si="8"/>
        <v>0</v>
      </c>
      <c r="F79" s="4">
        <f t="shared" si="8"/>
        <v>0</v>
      </c>
      <c r="G79" s="4">
        <f t="shared" si="8"/>
        <v>0</v>
      </c>
      <c r="H79" s="4">
        <f t="shared" si="8"/>
        <v>0</v>
      </c>
      <c r="I79" s="4">
        <f t="shared" si="8"/>
        <v>0</v>
      </c>
      <c r="J79" s="4">
        <f t="shared" si="8"/>
        <v>0</v>
      </c>
      <c r="K79" s="4">
        <f t="shared" si="8"/>
        <v>0</v>
      </c>
      <c r="L79" s="4">
        <f t="shared" si="8"/>
        <v>0</v>
      </c>
      <c r="M79" s="4">
        <f t="shared" si="8"/>
        <v>0</v>
      </c>
      <c r="N79" s="4">
        <f t="shared" si="8"/>
        <v>0</v>
      </c>
      <c r="O79" s="4">
        <f t="shared" si="8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8">
        <f t="shared" ref="D82:O82" si="9">IFERROR(SUM(D78:D81), 0)</f>
        <v>-58630.380000000005</v>
      </c>
      <c r="E82" s="8">
        <f t="shared" si="9"/>
        <v>-47897.97</v>
      </c>
      <c r="F82" s="8">
        <f t="shared" si="9"/>
        <v>-47199.6</v>
      </c>
      <c r="G82" s="8">
        <f t="shared" si="9"/>
        <v>-63484.42</v>
      </c>
      <c r="H82" s="8">
        <f t="shared" si="9"/>
        <v>-46633.59</v>
      </c>
      <c r="I82" s="8">
        <f t="shared" si="9"/>
        <v>-55888.94</v>
      </c>
      <c r="J82" s="8">
        <f t="shared" si="9"/>
        <v>-54327.831462107686</v>
      </c>
      <c r="K82" s="8">
        <f t="shared" si="9"/>
        <v>-46434.26516968615</v>
      </c>
      <c r="L82" s="8">
        <f t="shared" si="9"/>
        <v>-46434.26516968615</v>
      </c>
      <c r="M82" s="8">
        <f t="shared" si="9"/>
        <v>-54327.831462107686</v>
      </c>
      <c r="N82" s="8">
        <f t="shared" si="9"/>
        <v>-58934.26516968615</v>
      </c>
      <c r="O82" s="8">
        <f t="shared" si="9"/>
        <v>-46434.26516968615</v>
      </c>
      <c r="Q82" s="8">
        <f>IFERROR(SUM(Q78:Q81), 0)</f>
        <v>-626627.62360296003</v>
      </c>
    </row>
    <row r="83" spans="1:17" ht="15" thickTop="1" x14ac:dyDescent="0.3">
      <c r="A83" s="5"/>
      <c r="C83" s="5"/>
      <c r="D83" s="4">
        <f t="shared" ref="D83:O83" si="10">IFERROR(D82/D10, 0)</f>
        <v>0</v>
      </c>
      <c r="E83" s="4">
        <f t="shared" si="10"/>
        <v>0</v>
      </c>
      <c r="F83" s="4">
        <f t="shared" si="10"/>
        <v>0</v>
      </c>
      <c r="G83" s="4">
        <f t="shared" si="10"/>
        <v>0</v>
      </c>
      <c r="H83" s="4">
        <f t="shared" si="10"/>
        <v>0</v>
      </c>
      <c r="I83" s="4">
        <f t="shared" si="10"/>
        <v>0</v>
      </c>
      <c r="J83" s="4">
        <f t="shared" si="10"/>
        <v>0</v>
      </c>
      <c r="K83" s="4">
        <f t="shared" si="10"/>
        <v>0</v>
      </c>
      <c r="L83" s="4">
        <f t="shared" si="10"/>
        <v>0</v>
      </c>
      <c r="M83" s="4">
        <f t="shared" si="10"/>
        <v>0</v>
      </c>
      <c r="N83" s="4">
        <f t="shared" si="10"/>
        <v>0</v>
      </c>
      <c r="O83" s="4">
        <f t="shared" si="10"/>
        <v>0</v>
      </c>
      <c r="P83" s="18"/>
      <c r="Q83" s="4">
        <f>IFERROR(Q82/Q10, 0)</f>
        <v>0</v>
      </c>
    </row>
    <row r="84" spans="1:17" x14ac:dyDescent="0.3">
      <c r="A84" s="5"/>
      <c r="B84" s="28">
        <v>44575.850692245367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26" t="s">
        <v>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A86" s="5"/>
      <c r="B86" s="3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","204", " - ", "Information Technology")</f>
        <v>Department 204 - Information Technology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47853.990000000005</v>
      </c>
      <c r="E17" s="12">
        <f>SUM(OSRRefD20x_1)</f>
        <v>43235.119999999995</v>
      </c>
      <c r="F17" s="12">
        <f>SUM(OSRRefD20x_2)</f>
        <v>42220.380000000005</v>
      </c>
      <c r="G17" s="12">
        <f>SUM(OSRRefD20x_3)</f>
        <v>49361.08</v>
      </c>
      <c r="H17" s="12">
        <f>SUM(OSRRefD20x_4)</f>
        <v>39757.269999999997</v>
      </c>
      <c r="I17" s="12">
        <f>SUM(OSRRefD20x_5)</f>
        <v>45531.519999999997</v>
      </c>
      <c r="J17" s="12">
        <f>SUM(OSRRefE20x_0)</f>
        <v>55284.082559230737</v>
      </c>
      <c r="K17" s="12">
        <f>SUM(OSRRefE20x_1)</f>
        <v>46202.666047384591</v>
      </c>
      <c r="L17" s="12">
        <f>SUM(OSRRefE20x_2)</f>
        <v>46202.666047384591</v>
      </c>
      <c r="M17" s="12">
        <f>SUM(OSRRefE20x_3)</f>
        <v>53034.082559230737</v>
      </c>
      <c r="N17" s="12">
        <f>SUM(OSRRefE20x_4)</f>
        <v>46302.666047384591</v>
      </c>
      <c r="O17" s="12">
        <f>SUM(OSRRefE20x_5)</f>
        <v>45828.666047384591</v>
      </c>
      <c r="Q17" s="12">
        <f>SUM(OSRRefG20x)</f>
        <v>560814.1893079998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SUM(OSRRefD21_0x_1)</f>
        <v>10818.99</v>
      </c>
      <c r="F18" s="1">
        <f>SUM(OSRRefD21_0x_2)</f>
        <v>10752.920000000002</v>
      </c>
      <c r="G18" s="1">
        <f>SUM(OSRRefD21_0x_3)</f>
        <v>12876.02</v>
      </c>
      <c r="H18" s="1">
        <f>SUM(OSRRefD21_0x_4)</f>
        <v>11076</v>
      </c>
      <c r="I18" s="1">
        <f>SUM(OSRRefD21_0x_5)</f>
        <v>11086.919999999998</v>
      </c>
      <c r="J18" s="1">
        <f>SUM(OSRRefE21_0x_0)</f>
        <v>12494.121020769242</v>
      </c>
      <c r="K18" s="1">
        <f>SUM(OSRRefE21_0x_1)</f>
        <v>11122.496816615394</v>
      </c>
      <c r="L18" s="1">
        <f>SUM(OSRRefE21_0x_2)</f>
        <v>11122.496816615394</v>
      </c>
      <c r="M18" s="1">
        <f>SUM(OSRRefE21_0x_3)</f>
        <v>12494.121020769242</v>
      </c>
      <c r="N18" s="1">
        <f>SUM(OSRRefE21_0x_4)</f>
        <v>11122.496816615394</v>
      </c>
      <c r="O18" s="1">
        <f>SUM(OSRRefE21_0x_5)</f>
        <v>11122.496816615394</v>
      </c>
      <c r="Q18" s="2">
        <f>SUM(OSRRefD20_0x)+IFERROR(SUM(OSRRefE20_0x),0)</f>
        <v>136810.25930800004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1417.14</v>
      </c>
      <c r="F19" s="2">
        <v>1417.14</v>
      </c>
      <c r="G19" s="2">
        <v>2134.3200000000002</v>
      </c>
      <c r="H19" s="2">
        <v>1475.97</v>
      </c>
      <c r="I19" s="2">
        <v>1498.83</v>
      </c>
      <c r="J19" s="2">
        <v>2263.5160361538501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21113.603388000021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238.97</v>
      </c>
      <c r="F20" s="2">
        <v>238.97</v>
      </c>
      <c r="G20" s="2">
        <v>359.9</v>
      </c>
      <c r="H20" s="2">
        <v>248.89</v>
      </c>
      <c r="I20" s="2">
        <v>245.51</v>
      </c>
      <c r="J20" s="2">
        <v>91.688223076923094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2045.0887599999999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4833.2700000000004</v>
      </c>
      <c r="F21" s="2">
        <v>4867.0200000000004</v>
      </c>
      <c r="G21" s="2">
        <v>4833.2700000000004</v>
      </c>
      <c r="H21" s="2">
        <v>4833.2700000000004</v>
      </c>
      <c r="I21" s="2">
        <v>4833.2700000000004</v>
      </c>
      <c r="J21" s="2">
        <v>5336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61049.37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48.16</v>
      </c>
      <c r="F22" s="2">
        <v>48.16</v>
      </c>
      <c r="G22" s="2">
        <v>72.540000000000006</v>
      </c>
      <c r="H22" s="2">
        <v>50.16</v>
      </c>
      <c r="I22" s="2">
        <v>49.48</v>
      </c>
      <c r="J22" s="2">
        <v>62.111376923076897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639.05915999999979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1834.11</v>
      </c>
      <c r="F23" s="2">
        <v>1834.11</v>
      </c>
      <c r="G23" s="2">
        <v>2751.15</v>
      </c>
      <c r="H23" s="2">
        <v>1907.46</v>
      </c>
      <c r="I23" s="2">
        <v>1907.46</v>
      </c>
      <c r="J23" s="2">
        <v>1958.98076923077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22255.100000000017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1349.22</v>
      </c>
      <c r="F25" s="2">
        <v>1324.09</v>
      </c>
      <c r="G25" s="2">
        <v>1106.1099999999999</v>
      </c>
      <c r="H25" s="2">
        <v>1493.96</v>
      </c>
      <c r="I25" s="2">
        <v>1493.96</v>
      </c>
      <c r="J25" s="2">
        <v>1138.9423076923099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14080.720000000005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844.06</v>
      </c>
      <c r="F26" s="2">
        <v>844.06</v>
      </c>
      <c r="G26" s="2">
        <v>1266.0899999999999</v>
      </c>
      <c r="H26" s="2">
        <v>877.84</v>
      </c>
      <c r="I26" s="2">
        <v>877.84</v>
      </c>
      <c r="J26" s="2">
        <v>1342.88230769231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12536.93800000002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254.06</v>
      </c>
      <c r="F27" s="2">
        <v>179.37</v>
      </c>
      <c r="G27" s="2">
        <v>352.64</v>
      </c>
      <c r="H27" s="2">
        <v>188.45</v>
      </c>
      <c r="I27" s="2">
        <v>180.57</v>
      </c>
      <c r="J27" s="2">
        <v>300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3090.38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SUM(OSRRefD21_1x_1)</f>
        <v>17764.14</v>
      </c>
      <c r="F28" s="1">
        <f>SUM(OSRRefD21_1x_2)</f>
        <v>16172.63</v>
      </c>
      <c r="G28" s="1">
        <f>SUM(OSRRefD21_1x_3)</f>
        <v>21389</v>
      </c>
      <c r="H28" s="1">
        <f>SUM(OSRRefD21_1x_4)</f>
        <v>16170.85</v>
      </c>
      <c r="I28" s="1">
        <f>SUM(OSRRefD21_1x_5)</f>
        <v>18389.099999999999</v>
      </c>
      <c r="J28" s="1">
        <f>SUM(OSRRefE21_1x_0)</f>
        <v>27298.961538461499</v>
      </c>
      <c r="K28" s="1">
        <f>SUM(OSRRefE21_1x_1)</f>
        <v>21839.169230769199</v>
      </c>
      <c r="L28" s="1">
        <f>SUM(OSRRefE21_1x_2)</f>
        <v>21839.169230769199</v>
      </c>
      <c r="M28" s="1">
        <f>SUM(OSRRefE21_1x_3)</f>
        <v>27298.961538461499</v>
      </c>
      <c r="N28" s="1">
        <f>SUM(OSRRefE21_1x_4)</f>
        <v>21839.169230769199</v>
      </c>
      <c r="O28" s="1">
        <f>SUM(OSRRefE21_1x_5)</f>
        <v>21839.169230769199</v>
      </c>
      <c r="Q28" s="2">
        <f>SUM(OSRRefD20_1x)+IFERROR(SUM(OSRRefE20_1x),0)</f>
        <v>252982.58999999982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17764.14</v>
      </c>
      <c r="F30" s="2">
        <v>16172.63</v>
      </c>
      <c r="G30" s="2">
        <v>21389</v>
      </c>
      <c r="H30" s="2">
        <v>16170.85</v>
      </c>
      <c r="I30" s="2">
        <v>18389.099999999999</v>
      </c>
      <c r="J30" s="2">
        <v>20500.961538461499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217632.98999999982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>
        <v>6798</v>
      </c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35349.599999999999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SUM(OSRRefD21_2x_1)</f>
        <v>5098.37</v>
      </c>
      <c r="F39" s="1">
        <f>SUM(OSRRefD21_2x_2)</f>
        <v>5098.3599999999997</v>
      </c>
      <c r="G39" s="1">
        <f>SUM(OSRRefD21_2x_3)</f>
        <v>2140.9</v>
      </c>
      <c r="H39" s="1">
        <f>SUM(OSRRefD21_2x_4)</f>
        <v>2140.89</v>
      </c>
      <c r="I39" s="1">
        <f>SUM(OSRRefD21_2x_5)</f>
        <v>2140.89</v>
      </c>
      <c r="J39" s="1">
        <f>SUM(OSRRefE21_2x_0)</f>
        <v>2099</v>
      </c>
      <c r="K39" s="1">
        <f>SUM(OSRRefE21_2x_1)</f>
        <v>2099</v>
      </c>
      <c r="L39" s="1">
        <f>SUM(OSRRefE21_2x_2)</f>
        <v>2099</v>
      </c>
      <c r="M39" s="1">
        <f>SUM(OSRRefE21_2x_3)</f>
        <v>2099</v>
      </c>
      <c r="N39" s="1">
        <f>SUM(OSRRefE21_2x_4)</f>
        <v>2099</v>
      </c>
      <c r="O39" s="1">
        <f>SUM(OSRRefE21_2x_5)</f>
        <v>1645</v>
      </c>
      <c r="Q39" s="2">
        <f>SUM(OSRRefD20_2x)+IFERROR(SUM(OSRRefE20_2x),0)</f>
        <v>33857.78</v>
      </c>
    </row>
    <row r="40" spans="1:17" s="35" customFormat="1" hidden="1" outlineLevel="1" x14ac:dyDescent="0.3">
      <c r="A40" s="34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5098.37</v>
      </c>
      <c r="F40" s="2">
        <v>5098.3599999999997</v>
      </c>
      <c r="G40" s="2">
        <v>2140.9</v>
      </c>
      <c r="H40" s="2">
        <v>2140.89</v>
      </c>
      <c r="I40" s="2">
        <v>2140.89</v>
      </c>
      <c r="J40" s="2">
        <v>1599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30857.78</v>
      </c>
    </row>
    <row r="41" spans="1:17" s="35" customFormat="1" hidden="1" outlineLevel="1" x14ac:dyDescent="0.3">
      <c r="A41" s="34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/>
      <c r="F41" s="2"/>
      <c r="G41" s="2"/>
      <c r="H41" s="2"/>
      <c r="I41" s="2"/>
      <c r="J41" s="2">
        <v>500</v>
      </c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3000</v>
      </c>
    </row>
    <row r="42" spans="1:17" s="35" customFormat="1" collapsed="1" x14ac:dyDescent="0.3">
      <c r="A42" s="34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SUM(OSRRefD21_3x_1)</f>
        <v>76.569999999999993</v>
      </c>
      <c r="F42" s="1">
        <f>SUM(OSRRefD21_3x_2)</f>
        <v>76.569999999999993</v>
      </c>
      <c r="G42" s="1">
        <f>SUM(OSRRefD21_3x_3)</f>
        <v>76.569999999999993</v>
      </c>
      <c r="H42" s="1">
        <f>SUM(OSRRefD21_3x_4)</f>
        <v>76.569999999999993</v>
      </c>
      <c r="I42" s="1">
        <f>SUM(OSRRefD21_3x_5)</f>
        <v>76.569999999999993</v>
      </c>
      <c r="J42" s="1">
        <f>SUM(OSRRefE21_3x_0)</f>
        <v>75</v>
      </c>
      <c r="K42" s="1">
        <f>SUM(OSRRefE21_3x_1)</f>
        <v>75</v>
      </c>
      <c r="L42" s="1">
        <f>SUM(OSRRefE21_3x_2)</f>
        <v>75</v>
      </c>
      <c r="M42" s="1">
        <f>SUM(OSRRefE21_3x_3)</f>
        <v>75</v>
      </c>
      <c r="N42" s="1">
        <f>SUM(OSRRefE21_3x_4)</f>
        <v>75</v>
      </c>
      <c r="O42" s="1">
        <f>SUM(OSRRefE21_3x_5)</f>
        <v>75</v>
      </c>
      <c r="Q42" s="2">
        <f>SUM(OSRRefD20_3x)+IFERROR(SUM(OSRRefE20_3x),0)</f>
        <v>909.42</v>
      </c>
    </row>
    <row r="43" spans="1:17" s="35" customFormat="1" hidden="1" outlineLevel="1" x14ac:dyDescent="0.3">
      <c r="A43" s="34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76.569999999999993</v>
      </c>
      <c r="F43" s="2">
        <v>76.569999999999993</v>
      </c>
      <c r="G43" s="2">
        <v>76.569999999999993</v>
      </c>
      <c r="H43" s="2">
        <v>76.569999999999993</v>
      </c>
      <c r="I43" s="2">
        <v>76.569999999999993</v>
      </c>
      <c r="J43" s="2">
        <v>75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909.42</v>
      </c>
    </row>
    <row r="44" spans="1:17" s="35" customFormat="1" collapsed="1" x14ac:dyDescent="0.3">
      <c r="A44" s="34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SUM(OSRRefD21_4x_1)</f>
        <v>8673.52</v>
      </c>
      <c r="F44" s="1">
        <f>SUM(OSRRefD21_4x_2)</f>
        <v>9466</v>
      </c>
      <c r="G44" s="1">
        <f>SUM(OSRRefD21_4x_3)</f>
        <v>10667.06</v>
      </c>
      <c r="H44" s="1">
        <f>SUM(OSRRefD21_4x_4)</f>
        <v>9466</v>
      </c>
      <c r="I44" s="1">
        <f>SUM(OSRRefD21_4x_5)</f>
        <v>13219.65</v>
      </c>
      <c r="J44" s="1">
        <f>SUM(OSRRefE21_4x_0)</f>
        <v>10467</v>
      </c>
      <c r="K44" s="1">
        <f>SUM(OSRRefE21_4x_1)</f>
        <v>10467</v>
      </c>
      <c r="L44" s="1">
        <f>SUM(OSRRefE21_4x_2)</f>
        <v>10467</v>
      </c>
      <c r="M44" s="1">
        <f>SUM(OSRRefE21_4x_3)</f>
        <v>10467</v>
      </c>
      <c r="N44" s="1">
        <f>SUM(OSRRefE21_4x_4)</f>
        <v>10467</v>
      </c>
      <c r="O44" s="1">
        <f>SUM(OSRRefE21_4x_5)</f>
        <v>10467</v>
      </c>
      <c r="Q44" s="2">
        <f>SUM(OSRRefD20_4x)+IFERROR(SUM(OSRRefE20_4x),0)</f>
        <v>123859.23000000001</v>
      </c>
    </row>
    <row r="45" spans="1:17" s="35" customFormat="1" hidden="1" outlineLevel="1" x14ac:dyDescent="0.3">
      <c r="A45" s="34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1560</v>
      </c>
      <c r="F45" s="2"/>
      <c r="G45" s="2">
        <v>165</v>
      </c>
      <c r="H45" s="2"/>
      <c r="I45" s="2"/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7824</v>
      </c>
    </row>
    <row r="46" spans="1:17" s="35" customFormat="1" hidden="1" outlineLevel="1" x14ac:dyDescent="0.3">
      <c r="A46" s="34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/>
      <c r="F46" s="2"/>
      <c r="G46" s="2">
        <v>1008.07</v>
      </c>
      <c r="H46" s="2"/>
      <c r="I46" s="2">
        <v>3752.4</v>
      </c>
      <c r="J46" s="2">
        <v>0</v>
      </c>
      <c r="K46" s="2"/>
      <c r="L46" s="2"/>
      <c r="M46" s="2"/>
      <c r="N46" s="2"/>
      <c r="O46" s="2"/>
      <c r="P46" s="9"/>
      <c r="Q46" s="2">
        <f>SUM(OSRRefD21_4_1x)+IFERROR(SUM(OSRRefE21_4_1x),0)</f>
        <v>4760.47</v>
      </c>
    </row>
    <row r="47" spans="1:17" s="35" customFormat="1" hidden="1" outlineLevel="1" x14ac:dyDescent="0.3">
      <c r="A47" s="34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7066</v>
      </c>
      <c r="F47" s="2">
        <v>9466</v>
      </c>
      <c r="G47" s="2">
        <v>9493.99</v>
      </c>
      <c r="H47" s="2">
        <v>9466</v>
      </c>
      <c r="I47" s="2">
        <v>9467.25</v>
      </c>
      <c r="J47" s="2">
        <v>9467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111227.23999999999</v>
      </c>
    </row>
    <row r="48" spans="1:17" s="35" customFormat="1" hidden="1" outlineLevel="1" x14ac:dyDescent="0.3">
      <c r="A48" s="34"/>
      <c r="B48" s="10" t="str">
        <f>CONCATENATE("          ","6375", " - ","OUTSIDE REPAIRS &amp; MAINTENANCE")</f>
        <v xml:space="preserve">          6375 - OUTSIDE REPAIRS &amp; MAINTENANCE</v>
      </c>
      <c r="C48" s="14"/>
      <c r="D48" s="2"/>
      <c r="E48" s="2">
        <v>47.52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SUM(OSRRefD21_4_3x)+IFERROR(SUM(OSRRefE21_4_3x),0)</f>
        <v>47.52</v>
      </c>
    </row>
    <row r="49" spans="1:17" s="35" customFormat="1" collapsed="1" x14ac:dyDescent="0.3">
      <c r="A49" s="34"/>
      <c r="B49" s="14" t="str">
        <f>CONCATENATE("     ","Subscriptions &amp; Dues                              ")</f>
        <v xml:space="preserve">     Subscriptions &amp; Dues                              </v>
      </c>
      <c r="C49" s="14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SUM(OSRRefE21_5x_0)</f>
        <v>250</v>
      </c>
      <c r="K49" s="1">
        <f>SUM(OSRRefE21_5x_1)</f>
        <v>0</v>
      </c>
      <c r="L49" s="1">
        <f>SUM(OSRRefE21_5x_2)</f>
        <v>0</v>
      </c>
      <c r="M49" s="1">
        <f>SUM(OSRRefE21_5x_3)</f>
        <v>0</v>
      </c>
      <c r="N49" s="1">
        <f>SUM(OSRRefE21_5x_4)</f>
        <v>0</v>
      </c>
      <c r="O49" s="1">
        <f>SUM(OSRRefE21_5x_5)</f>
        <v>0</v>
      </c>
      <c r="Q49" s="2">
        <f>SUM(OSRRefD20_5x)+IFERROR(SUM(OSRRefE20_5x),0)</f>
        <v>250</v>
      </c>
    </row>
    <row r="50" spans="1:17" s="35" customFormat="1" hidden="1" outlineLevel="1" x14ac:dyDescent="0.3">
      <c r="A50" s="34"/>
      <c r="B50" s="10" t="str">
        <f>CONCATENATE("          ","6258", " - ","MEMBERSHIP DUES")</f>
        <v xml:space="preserve">          6258 - MEMBERSHIP DUES</v>
      </c>
      <c r="C50" s="14"/>
      <c r="D50" s="2"/>
      <c r="E50" s="2"/>
      <c r="F50" s="2"/>
      <c r="G50" s="2"/>
      <c r="H50" s="2"/>
      <c r="I50" s="2"/>
      <c r="J50" s="2">
        <v>250</v>
      </c>
      <c r="K50" s="2"/>
      <c r="L50" s="2"/>
      <c r="M50" s="2"/>
      <c r="N50" s="2"/>
      <c r="O50" s="2"/>
      <c r="P50" s="9"/>
      <c r="Q50" s="2">
        <f>SUM(OSRRefD21_5_0x)+IFERROR(SUM(OSRRefE21_5_0x),0)</f>
        <v>250</v>
      </c>
    </row>
    <row r="51" spans="1:17" s="35" customFormat="1" collapsed="1" x14ac:dyDescent="0.3">
      <c r="A51" s="34"/>
      <c r="B51" s="14" t="str">
        <f>CONCATENATE("     ","Supplies                                          ")</f>
        <v xml:space="preserve">     Supplies                                          </v>
      </c>
      <c r="C51" s="14"/>
      <c r="D51" s="1">
        <f>SUM(OSRRefD21_6x_0)</f>
        <v>336.92</v>
      </c>
      <c r="E51" s="1">
        <f>SUM(OSRRefD21_6x_1)</f>
        <v>0</v>
      </c>
      <c r="F51" s="1">
        <f>SUM(OSRRefD21_6x_2)</f>
        <v>0</v>
      </c>
      <c r="G51" s="1">
        <f>SUM(OSRRefD21_6x_3)</f>
        <v>1012.82</v>
      </c>
      <c r="H51" s="1">
        <f>SUM(OSRRefD21_6x_4)</f>
        <v>5.83</v>
      </c>
      <c r="I51" s="1">
        <f>SUM(OSRRefD21_6x_5)</f>
        <v>0</v>
      </c>
      <c r="J51" s="1">
        <f>SUM(OSRRefE21_6x_0)</f>
        <v>100</v>
      </c>
      <c r="K51" s="1">
        <f>SUM(OSRRefE21_6x_1)</f>
        <v>100</v>
      </c>
      <c r="L51" s="1">
        <f>SUM(OSRRefE21_6x_2)</f>
        <v>100</v>
      </c>
      <c r="M51" s="1">
        <f>SUM(OSRRefE21_6x_3)</f>
        <v>100</v>
      </c>
      <c r="N51" s="1">
        <f>SUM(OSRRefE21_6x_4)</f>
        <v>100</v>
      </c>
      <c r="O51" s="1">
        <f>SUM(OSRRefE21_6x_5)</f>
        <v>100</v>
      </c>
      <c r="Q51" s="2">
        <f>SUM(OSRRefD20_6x)+IFERROR(SUM(OSRRefE20_6x),0)</f>
        <v>1955.57</v>
      </c>
    </row>
    <row r="52" spans="1:17" s="35" customFormat="1" hidden="1" outlineLevel="1" x14ac:dyDescent="0.3">
      <c r="A52" s="34"/>
      <c r="B52" s="10" t="str">
        <f>CONCATENATE("          ","6241", " - ","OFFICE EXPENSE")</f>
        <v xml:space="preserve">          6241 - OFFICE EXPENSE</v>
      </c>
      <c r="C52" s="14"/>
      <c r="D52" s="2">
        <v>336.92</v>
      </c>
      <c r="E52" s="2"/>
      <c r="F52" s="2"/>
      <c r="G52" s="2">
        <v>1012.82</v>
      </c>
      <c r="H52" s="2">
        <v>5.83</v>
      </c>
      <c r="I52" s="2"/>
      <c r="J52" s="2">
        <v>100</v>
      </c>
      <c r="K52" s="2">
        <v>100</v>
      </c>
      <c r="L52" s="2">
        <v>100</v>
      </c>
      <c r="M52" s="2">
        <v>100</v>
      </c>
      <c r="N52" s="2">
        <v>100</v>
      </c>
      <c r="O52" s="2">
        <v>100</v>
      </c>
      <c r="P52" s="9"/>
      <c r="Q52" s="2">
        <f>SUM(OSRRefD21_6_0x)+IFERROR(SUM(OSRRefE21_6_0x),0)</f>
        <v>1955.57</v>
      </c>
    </row>
    <row r="53" spans="1:17" s="35" customFormat="1" collapsed="1" x14ac:dyDescent="0.3">
      <c r="A53" s="34"/>
      <c r="B53" s="14" t="str">
        <f>CONCATENATE("     ","Telephone/Data Lines                              ")</f>
        <v xml:space="preserve">     Telephone/Data Lines                              </v>
      </c>
      <c r="C53" s="14"/>
      <c r="D53" s="1">
        <f>SUM(OSRRefD21_7x_0)</f>
        <v>913.68000000000006</v>
      </c>
      <c r="E53" s="1">
        <f>SUM(OSRRefD21_7x_1)</f>
        <v>803.53</v>
      </c>
      <c r="F53" s="1">
        <f>SUM(OSRRefD21_7x_2)</f>
        <v>653.9</v>
      </c>
      <c r="G53" s="1">
        <f>SUM(OSRRefD21_7x_3)</f>
        <v>1198.71</v>
      </c>
      <c r="H53" s="1">
        <f>SUM(OSRRefD21_7x_4)</f>
        <v>821.13</v>
      </c>
      <c r="I53" s="1">
        <f>SUM(OSRRefD21_7x_5)</f>
        <v>519.39</v>
      </c>
      <c r="J53" s="1">
        <f>SUM(OSRRefE21_7x_0)</f>
        <v>500</v>
      </c>
      <c r="K53" s="1">
        <f>SUM(OSRRefE21_7x_1)</f>
        <v>500</v>
      </c>
      <c r="L53" s="1">
        <f>SUM(OSRRefE21_7x_2)</f>
        <v>500</v>
      </c>
      <c r="M53" s="1">
        <f>SUM(OSRRefE21_7x_3)</f>
        <v>500</v>
      </c>
      <c r="N53" s="1">
        <f>SUM(OSRRefE21_7x_4)</f>
        <v>600</v>
      </c>
      <c r="O53" s="1">
        <f>SUM(OSRRefE21_7x_5)</f>
        <v>580</v>
      </c>
      <c r="Q53" s="2">
        <f>SUM(OSRRefD20_7x)+IFERROR(SUM(OSRRefE20_7x),0)</f>
        <v>8090.34</v>
      </c>
    </row>
    <row r="54" spans="1:17" s="35" customFormat="1" hidden="1" outlineLevel="1" x14ac:dyDescent="0.3">
      <c r="A54" s="34"/>
      <c r="B54" s="10" t="str">
        <f>CONCATENATE("          ","6303", " - ","DATA PHONE LINES")</f>
        <v xml:space="preserve">          6303 - DATA PHONE LINES</v>
      </c>
      <c r="C54" s="14"/>
      <c r="D54" s="2">
        <v>161.97999999999999</v>
      </c>
      <c r="E54" s="2">
        <v>161.97999999999999</v>
      </c>
      <c r="F54" s="2"/>
      <c r="G54" s="2">
        <v>332.96</v>
      </c>
      <c r="H54" s="2">
        <v>170.98</v>
      </c>
      <c r="I54" s="2">
        <v>81.99</v>
      </c>
      <c r="J54" s="2">
        <v>200</v>
      </c>
      <c r="K54" s="2">
        <v>200</v>
      </c>
      <c r="L54" s="2">
        <v>200</v>
      </c>
      <c r="M54" s="2">
        <v>200</v>
      </c>
      <c r="N54" s="2">
        <v>300</v>
      </c>
      <c r="O54" s="2">
        <v>280</v>
      </c>
      <c r="P54" s="9"/>
      <c r="Q54" s="2">
        <f>SUM(OSRRefD21_7_0x)+IFERROR(SUM(OSRRefE21_7_0x),0)</f>
        <v>2289.89</v>
      </c>
    </row>
    <row r="55" spans="1:17" s="35" customFormat="1" hidden="1" outlineLevel="1" x14ac:dyDescent="0.3">
      <c r="A55" s="34"/>
      <c r="B55" s="10" t="str">
        <f>CONCATENATE("          ","6309", " - ","TELEPHONE")</f>
        <v xml:space="preserve">          6309 - TELEPHONE</v>
      </c>
      <c r="C55" s="14"/>
      <c r="D55" s="2">
        <v>751.7</v>
      </c>
      <c r="E55" s="2">
        <v>641.54999999999995</v>
      </c>
      <c r="F55" s="2">
        <v>653.9</v>
      </c>
      <c r="G55" s="2">
        <v>865.75</v>
      </c>
      <c r="H55" s="2">
        <v>650.15</v>
      </c>
      <c r="I55" s="2">
        <v>437.4</v>
      </c>
      <c r="J55" s="2">
        <v>300</v>
      </c>
      <c r="K55" s="2">
        <v>300</v>
      </c>
      <c r="L55" s="2">
        <v>300</v>
      </c>
      <c r="M55" s="2">
        <v>300</v>
      </c>
      <c r="N55" s="2">
        <v>300</v>
      </c>
      <c r="O55" s="2">
        <v>300</v>
      </c>
      <c r="P55" s="9"/>
      <c r="Q55" s="2">
        <f>SUM(OSRRefD21_7_1x)+IFERROR(SUM(OSRRefE21_7_1x),0)</f>
        <v>5800.4500000000007</v>
      </c>
    </row>
    <row r="56" spans="1:17" s="35" customFormat="1" collapsed="1" x14ac:dyDescent="0.3">
      <c r="A56" s="34"/>
      <c r="B56" s="14" t="str">
        <f>CONCATENATE("     ","Training                                          ")</f>
        <v xml:space="preserve">     Training                                          </v>
      </c>
      <c r="C56" s="14"/>
      <c r="D56" s="1">
        <f>SUM(OSRRefD21_8x_0)</f>
        <v>0</v>
      </c>
      <c r="E56" s="1">
        <f>SUM(OSRRefD21_8x_1)</f>
        <v>0</v>
      </c>
      <c r="F56" s="1">
        <f>SUM(OSRRefD21_8x_2)</f>
        <v>0</v>
      </c>
      <c r="G56" s="1">
        <f>SUM(OSRRefD21_8x_3)</f>
        <v>0</v>
      </c>
      <c r="H56" s="1">
        <f>SUM(OSRRefD21_8x_4)</f>
        <v>0</v>
      </c>
      <c r="I56" s="1">
        <f>SUM(OSRRefD21_8x_5)</f>
        <v>99</v>
      </c>
      <c r="J56" s="1">
        <f>SUM(OSRRefE21_8x_0)</f>
        <v>0</v>
      </c>
      <c r="K56" s="1">
        <f>SUM(OSRRefE21_8x_1)</f>
        <v>0</v>
      </c>
      <c r="L56" s="1">
        <f>SUM(OSRRefE21_8x_2)</f>
        <v>0</v>
      </c>
      <c r="M56" s="1">
        <f>SUM(OSRRefE21_8x_3)</f>
        <v>0</v>
      </c>
      <c r="N56" s="1">
        <f>SUM(OSRRefE21_8x_4)</f>
        <v>0</v>
      </c>
      <c r="O56" s="1">
        <f>SUM(OSRRefE21_8x_5)</f>
        <v>0</v>
      </c>
      <c r="Q56" s="2">
        <f>SUM(OSRRefD20_8x)+IFERROR(SUM(OSRRefE20_8x),0)</f>
        <v>99</v>
      </c>
    </row>
    <row r="57" spans="1:17" s="35" customFormat="1" hidden="1" outlineLevel="1" x14ac:dyDescent="0.3">
      <c r="A57" s="34"/>
      <c r="B57" s="10" t="str">
        <f>CONCATENATE("          ","6376", " - ","TRAINING")</f>
        <v xml:space="preserve">          6376 - TRAINING</v>
      </c>
      <c r="C57" s="14"/>
      <c r="D57" s="2"/>
      <c r="E57" s="2"/>
      <c r="F57" s="2"/>
      <c r="G57" s="2"/>
      <c r="H57" s="2"/>
      <c r="I57" s="2">
        <v>99</v>
      </c>
      <c r="J57" s="2"/>
      <c r="K57" s="2"/>
      <c r="L57" s="2"/>
      <c r="M57" s="2"/>
      <c r="N57" s="2"/>
      <c r="O57" s="2"/>
      <c r="P57" s="9"/>
      <c r="Q57" s="2">
        <f>SUM(OSRRefD21_8_0x)+IFERROR(SUM(OSRRefE21_8_0x),0)</f>
        <v>99</v>
      </c>
    </row>
    <row r="58" spans="1:17" s="35" customFormat="1" collapsed="1" x14ac:dyDescent="0.3">
      <c r="A58" s="34"/>
      <c r="B58" s="14" t="str">
        <f>CONCATENATE("     ","Travel                                            ")</f>
        <v xml:space="preserve">     Travel                                            </v>
      </c>
      <c r="C58" s="14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SUM(OSRRefE21_9x_0)</f>
        <v>2000</v>
      </c>
      <c r="K58" s="1">
        <f>SUM(OSRRefE21_9x_1)</f>
        <v>0</v>
      </c>
      <c r="L58" s="1">
        <f>SUM(OSRRefE21_9x_2)</f>
        <v>0</v>
      </c>
      <c r="M58" s="1">
        <f>SUM(OSRRefE21_9x_3)</f>
        <v>0</v>
      </c>
      <c r="N58" s="1">
        <f>SUM(OSRRefE21_9x_4)</f>
        <v>0</v>
      </c>
      <c r="O58" s="1">
        <f>SUM(OSRRefE21_9x_5)</f>
        <v>0</v>
      </c>
      <c r="Q58" s="2">
        <f>SUM(OSRRefD20_9x)+IFERROR(SUM(OSRRefE20_9x),0)</f>
        <v>2000</v>
      </c>
    </row>
    <row r="59" spans="1:17" s="35" customFormat="1" hidden="1" outlineLevel="1" x14ac:dyDescent="0.3">
      <c r="A59" s="34"/>
      <c r="B59" s="10" t="str">
        <f>CONCATENATE("          ","6292", " - ","TRAVEL/CONFERENCE")</f>
        <v xml:space="preserve">          6292 - TRAVEL/CONFERENCE</v>
      </c>
      <c r="C59" s="14"/>
      <c r="D59" s="2"/>
      <c r="E59" s="2"/>
      <c r="F59" s="2"/>
      <c r="G59" s="2"/>
      <c r="H59" s="2"/>
      <c r="I59" s="2"/>
      <c r="J59" s="2">
        <v>2000</v>
      </c>
      <c r="K59" s="2"/>
      <c r="L59" s="2"/>
      <c r="M59" s="2"/>
      <c r="N59" s="2"/>
      <c r="O59" s="2"/>
      <c r="P59" s="9"/>
      <c r="Q59" s="2">
        <f>SUM(OSRRefD21_9_0x)+IFERROR(SUM(OSRRefE21_9_0x),0)</f>
        <v>2000</v>
      </c>
    </row>
    <row r="60" spans="1:17" s="29" customFormat="1" x14ac:dyDescent="0.3">
      <c r="A60" s="21"/>
      <c r="B60" s="21"/>
      <c r="C60" s="2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</row>
    <row r="61" spans="1:17" s="9" customFormat="1" x14ac:dyDescent="0.3">
      <c r="A61" s="23"/>
      <c r="B61" s="16" t="s">
        <v>293</v>
      </c>
      <c r="C61" s="22"/>
      <c r="D61" s="3">
        <f t="shared" ref="D61:I61" si="4">0</f>
        <v>0</v>
      </c>
      <c r="E61" s="3">
        <f t="shared" si="4"/>
        <v>0</v>
      </c>
      <c r="F61" s="3">
        <f t="shared" si="4"/>
        <v>0</v>
      </c>
      <c r="G61" s="3">
        <f t="shared" si="4"/>
        <v>0</v>
      </c>
      <c r="H61" s="3">
        <f t="shared" si="4"/>
        <v>0</v>
      </c>
      <c r="I61" s="3">
        <f t="shared" si="4"/>
        <v>0</v>
      </c>
      <c r="J61" s="3"/>
      <c r="K61" s="3"/>
      <c r="L61" s="3"/>
      <c r="M61" s="3"/>
      <c r="N61" s="3"/>
      <c r="O61" s="3"/>
      <c r="Q61" s="2">
        <f>SUM(OSRRefD23_0x)+IFERROR(SUM(OSRRefE23_0x),0)</f>
        <v>0</v>
      </c>
    </row>
    <row r="62" spans="1:17" x14ac:dyDescent="0.3">
      <c r="A62" s="5"/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</row>
    <row r="63" spans="1:17" s="15" customFormat="1" x14ac:dyDescent="0.3">
      <c r="A63" s="6"/>
      <c r="B63" s="17" t="s">
        <v>276</v>
      </c>
      <c r="C63" s="17"/>
      <c r="D63" s="7">
        <f t="shared" ref="D63:O63" si="5">IFERROR(+D14-D17+D61, 0)</f>
        <v>-47853.990000000005</v>
      </c>
      <c r="E63" s="7">
        <f t="shared" si="5"/>
        <v>-43235.119999999995</v>
      </c>
      <c r="F63" s="7">
        <f t="shared" si="5"/>
        <v>-42220.380000000005</v>
      </c>
      <c r="G63" s="7">
        <f t="shared" si="5"/>
        <v>-49361.08</v>
      </c>
      <c r="H63" s="7">
        <f t="shared" si="5"/>
        <v>-39757.269999999997</v>
      </c>
      <c r="I63" s="7">
        <f t="shared" si="5"/>
        <v>-45531.519999999997</v>
      </c>
      <c r="J63" s="7">
        <f t="shared" si="5"/>
        <v>-55284.082559230737</v>
      </c>
      <c r="K63" s="7">
        <f t="shared" si="5"/>
        <v>-46202.666047384591</v>
      </c>
      <c r="L63" s="7">
        <f t="shared" si="5"/>
        <v>-46202.666047384591</v>
      </c>
      <c r="M63" s="7">
        <f t="shared" si="5"/>
        <v>-53034.082559230737</v>
      </c>
      <c r="N63" s="7">
        <f t="shared" si="5"/>
        <v>-46302.666047384591</v>
      </c>
      <c r="O63" s="7">
        <f t="shared" si="5"/>
        <v>-45828.666047384591</v>
      </c>
      <c r="Q63" s="7">
        <f>IFERROR(+Q14-Q17+Q61, 0)</f>
        <v>-560814.1893079998</v>
      </c>
    </row>
    <row r="64" spans="1:17" s="6" customFormat="1" x14ac:dyDescent="0.3">
      <c r="B64" s="16"/>
      <c r="C64" s="16"/>
      <c r="D64" s="4">
        <f t="shared" ref="D64:O64" si="6">IFERROR(D63/D10, 0)</f>
        <v>0</v>
      </c>
      <c r="E64" s="4">
        <f t="shared" si="6"/>
        <v>0</v>
      </c>
      <c r="F64" s="4">
        <f t="shared" si="6"/>
        <v>0</v>
      </c>
      <c r="G64" s="4">
        <f t="shared" si="6"/>
        <v>0</v>
      </c>
      <c r="H64" s="4">
        <f t="shared" si="6"/>
        <v>0</v>
      </c>
      <c r="I64" s="4">
        <f t="shared" si="6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  <c r="N64" s="4">
        <f t="shared" si="6"/>
        <v>0</v>
      </c>
      <c r="O64" s="4">
        <f t="shared" si="6"/>
        <v>0</v>
      </c>
      <c r="P64" s="18"/>
      <c r="Q64" s="4">
        <f>IFERROR(Q63/Q10, 0)</f>
        <v>0</v>
      </c>
    </row>
    <row r="65" spans="1:17" x14ac:dyDescent="0.3">
      <c r="A65" s="5"/>
      <c r="B65" s="6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x14ac:dyDescent="0.3">
      <c r="A66" s="25"/>
      <c r="B66" s="6" t="s">
        <v>125</v>
      </c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2">
        <f>SUM(OSRRefD28_0x)+IFERROR(SUM(OSRRefE28_0x),0)</f>
        <v>0</v>
      </c>
    </row>
    <row r="67" spans="1:17" x14ac:dyDescent="0.3">
      <c r="A67" s="5"/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ht="15" thickBot="1" x14ac:dyDescent="0.35">
      <c r="A68" s="6"/>
      <c r="B68" s="17" t="s">
        <v>124</v>
      </c>
      <c r="C68" s="17"/>
      <c r="D68" s="8">
        <f t="shared" ref="D68:O68" si="7">IFERROR(+D63-D66, 0)</f>
        <v>-47853.990000000005</v>
      </c>
      <c r="E68" s="8">
        <f t="shared" si="7"/>
        <v>-43235.119999999995</v>
      </c>
      <c r="F68" s="8">
        <f t="shared" si="7"/>
        <v>-42220.380000000005</v>
      </c>
      <c r="G68" s="8">
        <f t="shared" si="7"/>
        <v>-49361.08</v>
      </c>
      <c r="H68" s="8">
        <f t="shared" si="7"/>
        <v>-39757.269999999997</v>
      </c>
      <c r="I68" s="8">
        <f t="shared" si="7"/>
        <v>-45531.519999999997</v>
      </c>
      <c r="J68" s="8">
        <f t="shared" si="7"/>
        <v>-55284.082559230737</v>
      </c>
      <c r="K68" s="8">
        <f t="shared" si="7"/>
        <v>-46202.666047384591</v>
      </c>
      <c r="L68" s="8">
        <f t="shared" si="7"/>
        <v>-46202.666047384591</v>
      </c>
      <c r="M68" s="8">
        <f t="shared" si="7"/>
        <v>-53034.082559230737</v>
      </c>
      <c r="N68" s="8">
        <f t="shared" si="7"/>
        <v>-46302.666047384591</v>
      </c>
      <c r="O68" s="8">
        <f t="shared" si="7"/>
        <v>-45828.666047384591</v>
      </c>
      <c r="Q68" s="8">
        <f>IFERROR(+Q63-Q66, 0)</f>
        <v>-560814.1893079998</v>
      </c>
    </row>
    <row r="69" spans="1:17" ht="15" thickTop="1" x14ac:dyDescent="0.3">
      <c r="A69" s="5"/>
      <c r="B69" s="5"/>
      <c r="C69" s="5"/>
      <c r="D69" s="4">
        <f t="shared" ref="D69:O69" si="8">IFERROR(D68/D10, 0)</f>
        <v>0</v>
      </c>
      <c r="E69" s="4">
        <f t="shared" si="8"/>
        <v>0</v>
      </c>
      <c r="F69" s="4">
        <f t="shared" si="8"/>
        <v>0</v>
      </c>
      <c r="G69" s="4">
        <f t="shared" si="8"/>
        <v>0</v>
      </c>
      <c r="H69" s="4">
        <f t="shared" si="8"/>
        <v>0</v>
      </c>
      <c r="I69" s="4">
        <f t="shared" si="8"/>
        <v>0</v>
      </c>
      <c r="J69" s="4">
        <f t="shared" si="8"/>
        <v>0</v>
      </c>
      <c r="K69" s="4">
        <f t="shared" si="8"/>
        <v>0</v>
      </c>
      <c r="L69" s="4">
        <f t="shared" si="8"/>
        <v>0</v>
      </c>
      <c r="M69" s="4">
        <f t="shared" si="8"/>
        <v>0</v>
      </c>
      <c r="N69" s="4">
        <f t="shared" si="8"/>
        <v>0</v>
      </c>
      <c r="O69" s="4">
        <f t="shared" si="8"/>
        <v>0</v>
      </c>
      <c r="P69" s="18"/>
      <c r="Q69" s="4">
        <f>IFERROR(Q68/Q10, 0)</f>
        <v>0</v>
      </c>
    </row>
    <row r="70" spans="1:17" x14ac:dyDescent="0.3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x14ac:dyDescent="0.3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ht="15" thickBot="1" x14ac:dyDescent="0.35">
      <c r="A72" s="6"/>
      <c r="B72" s="17" t="s">
        <v>294</v>
      </c>
      <c r="C72" s="17"/>
      <c r="D72" s="8">
        <f t="shared" ref="D72:O72" si="9">IFERROR(SUM(D68:D71), 0)</f>
        <v>-47853.990000000005</v>
      </c>
      <c r="E72" s="8">
        <f t="shared" si="9"/>
        <v>-43235.119999999995</v>
      </c>
      <c r="F72" s="8">
        <f t="shared" si="9"/>
        <v>-42220.380000000005</v>
      </c>
      <c r="G72" s="8">
        <f t="shared" si="9"/>
        <v>-49361.08</v>
      </c>
      <c r="H72" s="8">
        <f t="shared" si="9"/>
        <v>-39757.269999999997</v>
      </c>
      <c r="I72" s="8">
        <f t="shared" si="9"/>
        <v>-45531.519999999997</v>
      </c>
      <c r="J72" s="8">
        <f t="shared" si="9"/>
        <v>-55284.082559230737</v>
      </c>
      <c r="K72" s="8">
        <f t="shared" si="9"/>
        <v>-46202.666047384591</v>
      </c>
      <c r="L72" s="8">
        <f t="shared" si="9"/>
        <v>-46202.666047384591</v>
      </c>
      <c r="M72" s="8">
        <f t="shared" si="9"/>
        <v>-53034.082559230737</v>
      </c>
      <c r="N72" s="8">
        <f t="shared" si="9"/>
        <v>-46302.666047384591</v>
      </c>
      <c r="O72" s="8">
        <f t="shared" si="9"/>
        <v>-45828.666047384591</v>
      </c>
      <c r="Q72" s="8">
        <f>IFERROR(SUM(Q68:Q71), 0)</f>
        <v>-560814.1893079998</v>
      </c>
    </row>
    <row r="73" spans="1:17" ht="15" thickTop="1" x14ac:dyDescent="0.3">
      <c r="A73" s="5"/>
      <c r="C73" s="5"/>
      <c r="D73" s="4">
        <f t="shared" ref="D73:O73" si="10">IFERROR(D72/D10, 0)</f>
        <v>0</v>
      </c>
      <c r="E73" s="4">
        <f t="shared" si="10"/>
        <v>0</v>
      </c>
      <c r="F73" s="4">
        <f t="shared" si="10"/>
        <v>0</v>
      </c>
      <c r="G73" s="4">
        <f t="shared" si="10"/>
        <v>0</v>
      </c>
      <c r="H73" s="4">
        <f t="shared" si="10"/>
        <v>0</v>
      </c>
      <c r="I73" s="4">
        <f t="shared" si="10"/>
        <v>0</v>
      </c>
      <c r="J73" s="4">
        <f t="shared" si="10"/>
        <v>0</v>
      </c>
      <c r="K73" s="4">
        <f t="shared" si="10"/>
        <v>0</v>
      </c>
      <c r="L73" s="4">
        <f t="shared" si="10"/>
        <v>0</v>
      </c>
      <c r="M73" s="4">
        <f t="shared" si="10"/>
        <v>0</v>
      </c>
      <c r="N73" s="4">
        <f t="shared" si="10"/>
        <v>0</v>
      </c>
      <c r="O73" s="4">
        <f t="shared" si="10"/>
        <v>0</v>
      </c>
      <c r="P73" s="18"/>
      <c r="Q73" s="4">
        <f>IFERROR(Q72/Q10, 0)</f>
        <v>0</v>
      </c>
    </row>
    <row r="74" spans="1:17" x14ac:dyDescent="0.3">
      <c r="A74" s="5"/>
      <c r="B74" s="28">
        <v>44575.850692245367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Q74" s="13"/>
    </row>
    <row r="75" spans="1:17" x14ac:dyDescent="0.3">
      <c r="A75" s="5"/>
      <c r="B75" s="26" t="s">
        <v>54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3">
      <c r="A76" s="5"/>
      <c r="B76" s="3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  <row r="77" spans="1:17" x14ac:dyDescent="0.3"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Q7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","205", " - ", "Maintenance")</f>
        <v>Department 205 - Maintenance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8183.68</v>
      </c>
      <c r="E17" s="12">
        <f>SUM(OSRRefD20x_1)</f>
        <v>7758.59</v>
      </c>
      <c r="F17" s="12">
        <f>SUM(OSRRefD20x_2)</f>
        <v>6279.6600000000008</v>
      </c>
      <c r="G17" s="12">
        <f>SUM(OSRRefD20x_3)</f>
        <v>9218.3900000000012</v>
      </c>
      <c r="H17" s="12">
        <f>SUM(OSRRefD20x_4)</f>
        <v>6608.87</v>
      </c>
      <c r="I17" s="12">
        <f>SUM(OSRRefD20x_5)</f>
        <v>7684.0999999999995</v>
      </c>
      <c r="J17" s="12">
        <f>SUM(OSRRefE20x_0)</f>
        <v>9013.7082250000003</v>
      </c>
      <c r="K17" s="12">
        <f>SUM(OSRRefE20x_1)</f>
        <v>7587.9665799999993</v>
      </c>
      <c r="L17" s="12">
        <f>SUM(OSRRefE20x_2)</f>
        <v>7437.9665799999993</v>
      </c>
      <c r="M17" s="12">
        <f>SUM(OSRRefE20x_3)</f>
        <v>14013.708225</v>
      </c>
      <c r="N17" s="12">
        <f>SUM(OSRRefE20x_4)</f>
        <v>7587.9665799999993</v>
      </c>
      <c r="O17" s="12">
        <f>SUM(OSRRefE20x_5)</f>
        <v>7587.9665799999993</v>
      </c>
      <c r="Q17" s="12">
        <f>SUM(OSRRefG20x)</f>
        <v>98962.572769999999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SUM(OSRRefD21_0x_1)</f>
        <v>2128.25</v>
      </c>
      <c r="F18" s="1">
        <f>SUM(OSRRefD21_0x_2)</f>
        <v>2079.7400000000002</v>
      </c>
      <c r="G18" s="1">
        <f>SUM(OSRRefD21_0x_3)</f>
        <v>3867.69</v>
      </c>
      <c r="H18" s="1">
        <f>SUM(OSRRefD21_0x_4)</f>
        <v>2501.3500000000004</v>
      </c>
      <c r="I18" s="1">
        <f>SUM(OSRRefD21_0x_5)</f>
        <v>2506.41</v>
      </c>
      <c r="J18" s="1">
        <f>SUM(OSRRefE21_0x_0)</f>
        <v>2274.7332249999999</v>
      </c>
      <c r="K18" s="1">
        <f>SUM(OSRRefE21_0x_1)</f>
        <v>1854.7865799999997</v>
      </c>
      <c r="L18" s="1">
        <f>SUM(OSRRefE21_0x_2)</f>
        <v>1854.7865799999997</v>
      </c>
      <c r="M18" s="1">
        <f>SUM(OSRRefE21_0x_3)</f>
        <v>2274.7332249999999</v>
      </c>
      <c r="N18" s="1">
        <f>SUM(OSRRefE21_0x_4)</f>
        <v>1854.7865799999997</v>
      </c>
      <c r="O18" s="1">
        <f>SUM(OSRRefE21_0x_5)</f>
        <v>1854.7865799999997</v>
      </c>
      <c r="Q18" s="2">
        <f>SUM(OSRRefD20_0x)+IFERROR(SUM(OSRRefE20_0x),0)</f>
        <v>27222.622770000002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349.41</v>
      </c>
      <c r="F19" s="2">
        <v>322.3</v>
      </c>
      <c r="G19" s="2">
        <v>487.83</v>
      </c>
      <c r="H19" s="2">
        <v>335.16</v>
      </c>
      <c r="I19" s="2">
        <v>336.48</v>
      </c>
      <c r="J19" s="2">
        <v>413.83597500000002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4302.0470700000005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246.05</v>
      </c>
      <c r="F20" s="2">
        <v>232.98</v>
      </c>
      <c r="G20" s="2">
        <v>352.28</v>
      </c>
      <c r="H20" s="2">
        <v>242.27</v>
      </c>
      <c r="I20" s="2">
        <v>242.1</v>
      </c>
      <c r="J20" s="2">
        <v>368.79149999999998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3463.9358000000002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696.16</v>
      </c>
      <c r="F21" s="2">
        <v>707.41</v>
      </c>
      <c r="G21" s="2">
        <v>696.16</v>
      </c>
      <c r="H21" s="2">
        <v>696.16</v>
      </c>
      <c r="I21" s="2">
        <v>696.16</v>
      </c>
      <c r="J21" s="2">
        <v>765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8166.21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11.57</v>
      </c>
      <c r="F22" s="2">
        <v>10.95</v>
      </c>
      <c r="G22" s="2">
        <v>16.559999999999999</v>
      </c>
      <c r="H22" s="2">
        <v>11.39</v>
      </c>
      <c r="I22" s="2">
        <v>11.38</v>
      </c>
      <c r="J22" s="2">
        <v>11.35575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131.73990000000001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456.93</v>
      </c>
      <c r="F23" s="2">
        <v>456.93</v>
      </c>
      <c r="G23" s="2">
        <v>685.4</v>
      </c>
      <c r="H23" s="2">
        <v>475.21</v>
      </c>
      <c r="I23" s="2">
        <v>475.21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3006.61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/>
      <c r="F25" s="2"/>
      <c r="G25" s="2">
        <v>1163.8800000000001</v>
      </c>
      <c r="H25" s="2">
        <v>403.46</v>
      </c>
      <c r="I25" s="2">
        <v>403.46</v>
      </c>
      <c r="J25" s="2">
        <v>432.6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4308.7800000000007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193.72</v>
      </c>
      <c r="F26" s="2">
        <v>193.72</v>
      </c>
      <c r="G26" s="2">
        <v>290.58</v>
      </c>
      <c r="H26" s="2">
        <v>201.46</v>
      </c>
      <c r="I26" s="2">
        <v>201.46</v>
      </c>
      <c r="J26" s="2">
        <v>108.15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1837.04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174.41</v>
      </c>
      <c r="F27" s="2">
        <v>155.44999999999999</v>
      </c>
      <c r="G27" s="2">
        <v>175</v>
      </c>
      <c r="H27" s="2">
        <v>136.24</v>
      </c>
      <c r="I27" s="2">
        <v>140.16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2006.2599999999998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SUM(OSRRefD21_1x_1)</f>
        <v>4554.12</v>
      </c>
      <c r="F28" s="1">
        <f>SUM(OSRRefD21_1x_2)</f>
        <v>3149.8</v>
      </c>
      <c r="G28" s="1">
        <f>SUM(OSRRefD21_1x_3)</f>
        <v>5059.3100000000004</v>
      </c>
      <c r="H28" s="1">
        <f>SUM(OSRRefD21_1x_4)</f>
        <v>3057.4</v>
      </c>
      <c r="I28" s="1">
        <f>SUM(OSRRefD21_1x_5)</f>
        <v>3992.37</v>
      </c>
      <c r="J28" s="1">
        <f>SUM(OSRRefE21_1x_0)</f>
        <v>5028.9750000000004</v>
      </c>
      <c r="K28" s="1">
        <f>SUM(OSRRefE21_1x_1)</f>
        <v>4023.18</v>
      </c>
      <c r="L28" s="1">
        <f>SUM(OSRRefE21_1x_2)</f>
        <v>4023.18</v>
      </c>
      <c r="M28" s="1">
        <f>SUM(OSRRefE21_1x_3)</f>
        <v>5028.9750000000004</v>
      </c>
      <c r="N28" s="1">
        <f>SUM(OSRRefE21_1x_4)</f>
        <v>4023.18</v>
      </c>
      <c r="O28" s="1">
        <f>SUM(OSRRefE21_1x_5)</f>
        <v>4023.18</v>
      </c>
      <c r="Q28" s="2">
        <f>SUM(OSRRefD20_1x)+IFERROR(SUM(OSRRefE20_1x),0)</f>
        <v>51003.42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4554.12</v>
      </c>
      <c r="F30" s="2">
        <v>3149.8</v>
      </c>
      <c r="G30" s="2">
        <v>5059.3100000000004</v>
      </c>
      <c r="H30" s="2">
        <v>3057.4</v>
      </c>
      <c r="I30" s="2">
        <v>3992.37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24852.75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>
        <v>5028.9750000000004</v>
      </c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26150.670000000002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-906.57</v>
      </c>
      <c r="H39" s="1">
        <f>SUM(OSRRefD21_2x_4)</f>
        <v>0</v>
      </c>
      <c r="I39" s="1">
        <f>SUM(OSRRefD21_2x_5)</f>
        <v>0</v>
      </c>
      <c r="J39" s="1">
        <f>SUM(OSRRefE21_2x_0)</f>
        <v>0</v>
      </c>
      <c r="K39" s="1">
        <f>SUM(OSRRefE21_2x_1)</f>
        <v>0</v>
      </c>
      <c r="L39" s="1">
        <f>SUM(OSRRefE21_2x_2)</f>
        <v>-150</v>
      </c>
      <c r="M39" s="1">
        <f>SUM(OSRRefE21_2x_3)</f>
        <v>0</v>
      </c>
      <c r="N39" s="1">
        <f>SUM(OSRRefE21_2x_4)</f>
        <v>0</v>
      </c>
      <c r="O39" s="1">
        <f>SUM(OSRRefE21_2x_5)</f>
        <v>0</v>
      </c>
      <c r="Q39" s="2">
        <f>SUM(OSRRefD20_2x)+IFERROR(SUM(OSRRefE20_2x),0)</f>
        <v>-1056.5700000000002</v>
      </c>
    </row>
    <row r="40" spans="1:17" s="35" customFormat="1" hidden="1" outlineLevel="1" x14ac:dyDescent="0.3">
      <c r="A40" s="34"/>
      <c r="B40" s="10" t="str">
        <f>CONCATENATE("          ","6279", " - ","GENERAL EXPENSE")</f>
        <v xml:space="preserve">          6279 - GENERAL EXPENSE</v>
      </c>
      <c r="C40" s="14"/>
      <c r="D40" s="2"/>
      <c r="E40" s="2"/>
      <c r="F40" s="2"/>
      <c r="G40" s="2">
        <v>-906.57</v>
      </c>
      <c r="H40" s="2"/>
      <c r="I40" s="2"/>
      <c r="J40" s="2">
        <v>0</v>
      </c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-1056.5700000000002</v>
      </c>
    </row>
    <row r="41" spans="1:17" s="35" customFormat="1" collapsed="1" x14ac:dyDescent="0.3">
      <c r="A41" s="34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SUM(OSRRefD21_3x_1)</f>
        <v>33.380000000000003</v>
      </c>
      <c r="F41" s="1">
        <f>SUM(OSRRefD21_3x_2)</f>
        <v>33.380000000000003</v>
      </c>
      <c r="G41" s="1">
        <f>SUM(OSRRefD21_3x_3)</f>
        <v>33.380000000000003</v>
      </c>
      <c r="H41" s="1">
        <f>SUM(OSRRefD21_3x_4)</f>
        <v>33.380000000000003</v>
      </c>
      <c r="I41" s="1">
        <f>SUM(OSRRefD21_3x_5)</f>
        <v>33.380000000000003</v>
      </c>
      <c r="J41" s="1">
        <f>SUM(OSRRefE21_3x_0)</f>
        <v>35</v>
      </c>
      <c r="K41" s="1">
        <f>SUM(OSRRefE21_3x_1)</f>
        <v>35</v>
      </c>
      <c r="L41" s="1">
        <f>SUM(OSRRefE21_3x_2)</f>
        <v>35</v>
      </c>
      <c r="M41" s="1">
        <f>SUM(OSRRefE21_3x_3)</f>
        <v>35</v>
      </c>
      <c r="N41" s="1">
        <f>SUM(OSRRefE21_3x_4)</f>
        <v>35</v>
      </c>
      <c r="O41" s="1">
        <f>SUM(OSRRefE21_3x_5)</f>
        <v>35</v>
      </c>
      <c r="Q41" s="2">
        <f>SUM(OSRRefD20_3x)+IFERROR(SUM(OSRRefE20_3x),0)</f>
        <v>410.28</v>
      </c>
    </row>
    <row r="42" spans="1:17" s="35" customFormat="1" hidden="1" outlineLevel="1" x14ac:dyDescent="0.3">
      <c r="A42" s="34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33.380000000000003</v>
      </c>
      <c r="F42" s="2">
        <v>33.380000000000003</v>
      </c>
      <c r="G42" s="2">
        <v>33.380000000000003</v>
      </c>
      <c r="H42" s="2">
        <v>33.380000000000003</v>
      </c>
      <c r="I42" s="2">
        <v>33.380000000000003</v>
      </c>
      <c r="J42" s="2">
        <v>35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410.28</v>
      </c>
    </row>
    <row r="43" spans="1:17" s="35" customFormat="1" collapsed="1" x14ac:dyDescent="0.3">
      <c r="A43" s="34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SUM(OSRRefD21_4x_1)</f>
        <v>918.74</v>
      </c>
      <c r="F43" s="1">
        <f>SUM(OSRRefD21_4x_2)</f>
        <v>918.74</v>
      </c>
      <c r="G43" s="1">
        <f>SUM(OSRRefD21_4x_3)</f>
        <v>991.58</v>
      </c>
      <c r="H43" s="1">
        <f>SUM(OSRRefD21_4x_4)</f>
        <v>918.74</v>
      </c>
      <c r="I43" s="1">
        <f>SUM(OSRRefD21_4x_5)</f>
        <v>918.74</v>
      </c>
      <c r="J43" s="1">
        <f>SUM(OSRRefE21_4x_0)</f>
        <v>1500</v>
      </c>
      <c r="K43" s="1">
        <f>SUM(OSRRefE21_4x_1)</f>
        <v>1500</v>
      </c>
      <c r="L43" s="1">
        <f>SUM(OSRRefE21_4x_2)</f>
        <v>1500</v>
      </c>
      <c r="M43" s="1">
        <f>SUM(OSRRefE21_4x_3)</f>
        <v>6500</v>
      </c>
      <c r="N43" s="1">
        <f>SUM(OSRRefE21_4x_4)</f>
        <v>1500</v>
      </c>
      <c r="O43" s="1">
        <f>SUM(OSRRefE21_4x_5)</f>
        <v>1500</v>
      </c>
      <c r="Q43" s="2">
        <f>SUM(OSRRefD20_4x)+IFERROR(SUM(OSRRefE20_4x),0)</f>
        <v>19558.52</v>
      </c>
    </row>
    <row r="44" spans="1:17" s="35" customFormat="1" hidden="1" outlineLevel="1" x14ac:dyDescent="0.3">
      <c r="A44" s="34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5" customFormat="1" hidden="1" outlineLevel="1" x14ac:dyDescent="0.3">
      <c r="A45" s="34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918.74</v>
      </c>
      <c r="F45" s="2">
        <v>918.74</v>
      </c>
      <c r="G45" s="2">
        <v>918.74</v>
      </c>
      <c r="H45" s="2">
        <v>918.74</v>
      </c>
      <c r="I45" s="2">
        <v>918.74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14485.68</v>
      </c>
    </row>
    <row r="46" spans="1:17" s="35" customFormat="1" hidden="1" outlineLevel="1" x14ac:dyDescent="0.3">
      <c r="A46" s="34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>
        <v>0</v>
      </c>
      <c r="F46" s="2"/>
      <c r="G46" s="2">
        <v>72.84</v>
      </c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72.84</v>
      </c>
    </row>
    <row r="47" spans="1:17" s="35" customFormat="1" collapsed="1" x14ac:dyDescent="0.3">
      <c r="A47" s="34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SUM(OSRRefE21_5x_0)</f>
        <v>25</v>
      </c>
      <c r="K47" s="1">
        <f>SUM(OSRRefE21_5x_1)</f>
        <v>25</v>
      </c>
      <c r="L47" s="1">
        <f>SUM(OSRRefE21_5x_2)</f>
        <v>25</v>
      </c>
      <c r="M47" s="1">
        <f>SUM(OSRRefE21_5x_3)</f>
        <v>25</v>
      </c>
      <c r="N47" s="1">
        <f>SUM(OSRRefE21_5x_4)</f>
        <v>25</v>
      </c>
      <c r="O47" s="1">
        <f>SUM(OSRRefE21_5x_5)</f>
        <v>25</v>
      </c>
      <c r="Q47" s="2">
        <f>SUM(OSRRefD20_5x)+IFERROR(SUM(OSRRefE20_5x),0)</f>
        <v>150</v>
      </c>
    </row>
    <row r="48" spans="1:17" s="35" customFormat="1" hidden="1" outlineLevel="1" x14ac:dyDescent="0.3">
      <c r="A48" s="34"/>
      <c r="B48" s="10" t="str">
        <f>CONCATENATE("          ","6286", " - ","LAUNDRY EXPENSE")</f>
        <v xml:space="preserve">          6286 - LAUNDRY EXPENSE</v>
      </c>
      <c r="C48" s="14"/>
      <c r="D48" s="2"/>
      <c r="E48" s="2"/>
      <c r="F48" s="2"/>
      <c r="G48" s="2"/>
      <c r="H48" s="2"/>
      <c r="I48" s="2"/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150</v>
      </c>
    </row>
    <row r="49" spans="1:17" s="35" customFormat="1" collapsed="1" x14ac:dyDescent="0.3">
      <c r="A49" s="34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SUM(OSRRefD21_6x_1)</f>
        <v>26.1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210.2</v>
      </c>
      <c r="J49" s="1">
        <f>SUM(OSRRefE21_6x_0)</f>
        <v>25</v>
      </c>
      <c r="K49" s="1">
        <f>SUM(OSRRefE21_6x_1)</f>
        <v>25</v>
      </c>
      <c r="L49" s="1">
        <f>SUM(OSRRefE21_6x_2)</f>
        <v>25</v>
      </c>
      <c r="M49" s="1">
        <f>SUM(OSRRefE21_6x_3)</f>
        <v>25</v>
      </c>
      <c r="N49" s="1">
        <f>SUM(OSRRefE21_6x_4)</f>
        <v>25</v>
      </c>
      <c r="O49" s="1">
        <f>SUM(OSRRefE21_6x_5)</f>
        <v>25</v>
      </c>
      <c r="Q49" s="2">
        <f>SUM(OSRRefD20_6x)+IFERROR(SUM(OSRRefE20_6x),0)</f>
        <v>386.29999999999995</v>
      </c>
    </row>
    <row r="50" spans="1:17" s="35" customFormat="1" hidden="1" outlineLevel="1" x14ac:dyDescent="0.3">
      <c r="A50" s="34"/>
      <c r="B50" s="10" t="str">
        <f>CONCATENATE("          ","6234", " - ","EXPENDABLE SUPPLIES &amp; EQUIPMEN")</f>
        <v xml:space="preserve">          6234 - EXPENDABLE SUPPLIES &amp; EQUIPMEN</v>
      </c>
      <c r="C50" s="14"/>
      <c r="D50" s="2"/>
      <c r="E50" s="2">
        <v>26.1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26.1</v>
      </c>
    </row>
    <row r="51" spans="1:17" s="35" customFormat="1" hidden="1" outlineLevel="1" x14ac:dyDescent="0.3">
      <c r="A51" s="34"/>
      <c r="B51" s="10" t="str">
        <f>CONCATENATE("          ","6241", " - ","OFFICE EXPENSE")</f>
        <v xml:space="preserve">          6241 - OFFICE EXPENSE</v>
      </c>
      <c r="C51" s="14"/>
      <c r="D51" s="2"/>
      <c r="E51" s="2"/>
      <c r="F51" s="2"/>
      <c r="G51" s="2"/>
      <c r="H51" s="2"/>
      <c r="I51" s="2">
        <v>210.2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SUM(OSRRefD21_6_1x)+IFERROR(SUM(OSRRefE21_6_1x),0)</f>
        <v>360.2</v>
      </c>
    </row>
    <row r="52" spans="1:17" s="35" customFormat="1" collapsed="1" x14ac:dyDescent="0.3">
      <c r="A52" s="34"/>
      <c r="B52" s="14" t="str">
        <f>CONCATENATE("     ","Telephone/Data Lines                              ")</f>
        <v xml:space="preserve">     Telephone/Data Lines                              </v>
      </c>
      <c r="C52" s="14"/>
      <c r="D52" s="1">
        <f>SUM(OSRRefD21_7x_0)</f>
        <v>48</v>
      </c>
      <c r="E52" s="1">
        <f>SUM(OSRRefD21_7x_1)</f>
        <v>98</v>
      </c>
      <c r="F52" s="1">
        <f>SUM(OSRRefD21_7x_2)</f>
        <v>98</v>
      </c>
      <c r="G52" s="1">
        <f>SUM(OSRRefD21_7x_3)</f>
        <v>173</v>
      </c>
      <c r="H52" s="1">
        <f>SUM(OSRRefD21_7x_4)</f>
        <v>98</v>
      </c>
      <c r="I52" s="1">
        <f>SUM(OSRRefD21_7x_5)</f>
        <v>23</v>
      </c>
      <c r="J52" s="1">
        <f>SUM(OSRRefE21_7x_0)</f>
        <v>125</v>
      </c>
      <c r="K52" s="1">
        <f>SUM(OSRRefE21_7x_1)</f>
        <v>125</v>
      </c>
      <c r="L52" s="1">
        <f>SUM(OSRRefE21_7x_2)</f>
        <v>125</v>
      </c>
      <c r="M52" s="1">
        <f>SUM(OSRRefE21_7x_3)</f>
        <v>125</v>
      </c>
      <c r="N52" s="1">
        <f>SUM(OSRRefE21_7x_4)</f>
        <v>125</v>
      </c>
      <c r="O52" s="1">
        <f>SUM(OSRRefE21_7x_5)</f>
        <v>125</v>
      </c>
      <c r="Q52" s="2">
        <f>SUM(OSRRefD20_7x)+IFERROR(SUM(OSRRefE20_7x),0)</f>
        <v>1288</v>
      </c>
    </row>
    <row r="53" spans="1:17" s="35" customFormat="1" hidden="1" outlineLevel="1" x14ac:dyDescent="0.3">
      <c r="A53" s="34"/>
      <c r="B53" s="10" t="str">
        <f>CONCATENATE("          ","6309", " - ","TELEPHONE")</f>
        <v xml:space="preserve">          6309 - TELEPHONE</v>
      </c>
      <c r="C53" s="14"/>
      <c r="D53" s="2">
        <v>48</v>
      </c>
      <c r="E53" s="2">
        <v>98</v>
      </c>
      <c r="F53" s="2">
        <v>98</v>
      </c>
      <c r="G53" s="2">
        <v>173</v>
      </c>
      <c r="H53" s="2">
        <v>98</v>
      </c>
      <c r="I53" s="2">
        <v>23</v>
      </c>
      <c r="J53" s="2">
        <v>125</v>
      </c>
      <c r="K53" s="2">
        <v>125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1288</v>
      </c>
    </row>
    <row r="54" spans="1:17" s="29" customFormat="1" x14ac:dyDescent="0.3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">
      <c r="A55" s="23"/>
      <c r="B55" s="16" t="s">
        <v>293</v>
      </c>
      <c r="C55" s="22"/>
      <c r="D55" s="3">
        <f t="shared" ref="D55:I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">
      <c r="A57" s="6"/>
      <c r="B57" s="17" t="s">
        <v>276</v>
      </c>
      <c r="C57" s="17"/>
      <c r="D57" s="7">
        <f t="shared" ref="D57:O57" si="5">IFERROR(+D14-D17+D55, 0)</f>
        <v>-8183.68</v>
      </c>
      <c r="E57" s="7">
        <f t="shared" si="5"/>
        <v>-7758.59</v>
      </c>
      <c r="F57" s="7">
        <f t="shared" si="5"/>
        <v>-6279.6600000000008</v>
      </c>
      <c r="G57" s="7">
        <f t="shared" si="5"/>
        <v>-9218.3900000000012</v>
      </c>
      <c r="H57" s="7">
        <f t="shared" si="5"/>
        <v>-6608.87</v>
      </c>
      <c r="I57" s="7">
        <f t="shared" si="5"/>
        <v>-7684.0999999999995</v>
      </c>
      <c r="J57" s="7">
        <f t="shared" si="5"/>
        <v>-9013.7082250000003</v>
      </c>
      <c r="K57" s="7">
        <f t="shared" si="5"/>
        <v>-7587.9665799999993</v>
      </c>
      <c r="L57" s="7">
        <f t="shared" si="5"/>
        <v>-7437.9665799999993</v>
      </c>
      <c r="M57" s="7">
        <f t="shared" si="5"/>
        <v>-14013.708225</v>
      </c>
      <c r="N57" s="7">
        <f t="shared" si="5"/>
        <v>-7587.9665799999993</v>
      </c>
      <c r="O57" s="7">
        <f t="shared" si="5"/>
        <v>-7587.9665799999993</v>
      </c>
      <c r="Q57" s="7">
        <f>IFERROR(+Q14-Q17+Q55, 0)</f>
        <v>-98962.572769999999</v>
      </c>
    </row>
    <row r="58" spans="1:17" s="6" customFormat="1" x14ac:dyDescent="0.3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35">
      <c r="A62" s="6"/>
      <c r="B62" s="17" t="s">
        <v>124</v>
      </c>
      <c r="C62" s="17"/>
      <c r="D62" s="8">
        <f t="shared" ref="D62:O62" si="7">IFERROR(+D57-D60, 0)</f>
        <v>-8183.68</v>
      </c>
      <c r="E62" s="8">
        <f t="shared" si="7"/>
        <v>-7758.59</v>
      </c>
      <c r="F62" s="8">
        <f t="shared" si="7"/>
        <v>-6279.6600000000008</v>
      </c>
      <c r="G62" s="8">
        <f t="shared" si="7"/>
        <v>-9218.3900000000012</v>
      </c>
      <c r="H62" s="8">
        <f t="shared" si="7"/>
        <v>-6608.87</v>
      </c>
      <c r="I62" s="8">
        <f t="shared" si="7"/>
        <v>-7684.0999999999995</v>
      </c>
      <c r="J62" s="8">
        <f t="shared" si="7"/>
        <v>-9013.7082250000003</v>
      </c>
      <c r="K62" s="8">
        <f t="shared" si="7"/>
        <v>-7587.9665799999993</v>
      </c>
      <c r="L62" s="8">
        <f t="shared" si="7"/>
        <v>-7437.9665799999993</v>
      </c>
      <c r="M62" s="8">
        <f t="shared" si="7"/>
        <v>-14013.708225</v>
      </c>
      <c r="N62" s="8">
        <f t="shared" si="7"/>
        <v>-7587.9665799999993</v>
      </c>
      <c r="O62" s="8">
        <f t="shared" si="7"/>
        <v>-7587.9665799999993</v>
      </c>
      <c r="Q62" s="8">
        <f>IFERROR(+Q57-Q60, 0)</f>
        <v>-98962.572769999999</v>
      </c>
    </row>
    <row r="63" spans="1:17" ht="15" thickTop="1" x14ac:dyDescent="0.3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35">
      <c r="A66" s="6"/>
      <c r="B66" s="17" t="s">
        <v>294</v>
      </c>
      <c r="C66" s="17"/>
      <c r="D66" s="8">
        <f t="shared" ref="D66:O66" si="9">IFERROR(SUM(D62:D65), 0)</f>
        <v>-8183.68</v>
      </c>
      <c r="E66" s="8">
        <f t="shared" si="9"/>
        <v>-7758.59</v>
      </c>
      <c r="F66" s="8">
        <f t="shared" si="9"/>
        <v>-6279.6600000000008</v>
      </c>
      <c r="G66" s="8">
        <f t="shared" si="9"/>
        <v>-9218.3900000000012</v>
      </c>
      <c r="H66" s="8">
        <f t="shared" si="9"/>
        <v>-6608.87</v>
      </c>
      <c r="I66" s="8">
        <f t="shared" si="9"/>
        <v>-7684.0999999999995</v>
      </c>
      <c r="J66" s="8">
        <f t="shared" si="9"/>
        <v>-9013.7082250000003</v>
      </c>
      <c r="K66" s="8">
        <f t="shared" si="9"/>
        <v>-7587.9665799999993</v>
      </c>
      <c r="L66" s="8">
        <f t="shared" si="9"/>
        <v>-7437.9665799999993</v>
      </c>
      <c r="M66" s="8">
        <f t="shared" si="9"/>
        <v>-14013.708225</v>
      </c>
      <c r="N66" s="8">
        <f t="shared" si="9"/>
        <v>-7587.9665799999993</v>
      </c>
      <c r="O66" s="8">
        <f t="shared" si="9"/>
        <v>-7587.9665799999993</v>
      </c>
      <c r="Q66" s="8">
        <f>IFERROR(SUM(Q62:Q65), 0)</f>
        <v>-98962.572769999999</v>
      </c>
    </row>
    <row r="67" spans="1:17" ht="15" thickTop="1" x14ac:dyDescent="0.3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">
      <c r="A68" s="5"/>
      <c r="B68" s="28">
        <v>44575.850692245367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"/>
    </row>
    <row r="69" spans="1:17" x14ac:dyDescent="0.3">
      <c r="A69" s="5"/>
      <c r="B69" s="26" t="s">
        <v>54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3">
      <c r="A70" s="5"/>
      <c r="B70" s="3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  <row r="71" spans="1:17" x14ac:dyDescent="0.3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Q7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","206", " - ", "Communications")</f>
        <v>Department 206 - Communications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10470.700000000001</v>
      </c>
      <c r="E17" s="12">
        <f>SUM(OSRRefD20x_1)</f>
        <v>7822.7099999999991</v>
      </c>
      <c r="F17" s="12">
        <f>SUM(OSRRefD20x_2)</f>
        <v>7247.0000000000009</v>
      </c>
      <c r="G17" s="12">
        <f>SUM(OSRRefD20x_3)</f>
        <v>10350.699999999999</v>
      </c>
      <c r="H17" s="12">
        <f>SUM(OSRRefD20x_4)</f>
        <v>9325.01</v>
      </c>
      <c r="I17" s="12">
        <f>SUM(OSRRefD20x_5)</f>
        <v>8783.9900000000016</v>
      </c>
      <c r="J17" s="12">
        <f>SUM(OSRRefE20x_0)</f>
        <v>14579.94678461538</v>
      </c>
      <c r="K17" s="12">
        <f>SUM(OSRRefE20x_1)</f>
        <v>12236.75742769231</v>
      </c>
      <c r="L17" s="12">
        <f>SUM(OSRRefE20x_2)</f>
        <v>12236.75742769231</v>
      </c>
      <c r="M17" s="12">
        <f>SUM(OSRRefE20x_3)</f>
        <v>14579.94678461538</v>
      </c>
      <c r="N17" s="12">
        <f>SUM(OSRRefE20x_4)</f>
        <v>12236.75742769231</v>
      </c>
      <c r="O17" s="12">
        <f>SUM(OSRRefE20x_5)</f>
        <v>12232.75742769231</v>
      </c>
      <c r="Q17" s="12">
        <f>SUM(OSRRefG20x)</f>
        <v>132103.03328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SUM(OSRRefD21_0x_1)</f>
        <v>1942.2400000000002</v>
      </c>
      <c r="F18" s="1">
        <f>SUM(OSRRefD21_0x_2)</f>
        <v>1787.88</v>
      </c>
      <c r="G18" s="1">
        <f>SUM(OSRRefD21_0x_3)</f>
        <v>2327.62</v>
      </c>
      <c r="H18" s="1">
        <f>SUM(OSRRefD21_0x_4)</f>
        <v>1880.25</v>
      </c>
      <c r="I18" s="1">
        <f>SUM(OSRRefD21_0x_5)</f>
        <v>1807.08</v>
      </c>
      <c r="J18" s="1">
        <f>SUM(OSRRefE21_0x_0)</f>
        <v>2696.3467846153799</v>
      </c>
      <c r="K18" s="1">
        <f>SUM(OSRRefE21_0x_1)</f>
        <v>2192.0774276923098</v>
      </c>
      <c r="L18" s="1">
        <f>SUM(OSRRefE21_0x_2)</f>
        <v>2192.0774276923098</v>
      </c>
      <c r="M18" s="1">
        <f>SUM(OSRRefE21_0x_3)</f>
        <v>2696.3467846153799</v>
      </c>
      <c r="N18" s="1">
        <f>SUM(OSRRefE21_0x_4)</f>
        <v>2192.0774276923098</v>
      </c>
      <c r="O18" s="1">
        <f>SUM(OSRRefE21_0x_5)</f>
        <v>2192.0774276923098</v>
      </c>
      <c r="Q18" s="2">
        <f>SUM(OSRRefD20_0x)+IFERROR(SUM(OSRRefE20_0x),0)</f>
        <v>25792.69328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483.01</v>
      </c>
      <c r="F19" s="2">
        <v>342.58</v>
      </c>
      <c r="G19" s="2">
        <v>524.72</v>
      </c>
      <c r="H19" s="2">
        <v>363.08</v>
      </c>
      <c r="I19" s="2">
        <v>371.86</v>
      </c>
      <c r="J19" s="2">
        <v>472.9554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5043.1280800000004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81.349999999999994</v>
      </c>
      <c r="F20" s="2">
        <v>74.17</v>
      </c>
      <c r="G20" s="2">
        <v>117.5</v>
      </c>
      <c r="H20" s="2">
        <v>87.67</v>
      </c>
      <c r="I20" s="2">
        <v>90.98</v>
      </c>
      <c r="J20" s="2">
        <v>29.077999999999999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686.55560000000003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700.87</v>
      </c>
      <c r="F21" s="2">
        <v>712.12</v>
      </c>
      <c r="G21" s="2">
        <v>700.87</v>
      </c>
      <c r="H21" s="2">
        <v>700.87</v>
      </c>
      <c r="I21" s="2">
        <v>700.87</v>
      </c>
      <c r="J21" s="2">
        <v>1594.61538461538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12508.470000000001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16.399999999999999</v>
      </c>
      <c r="F22" s="2">
        <v>14.95</v>
      </c>
      <c r="G22" s="2">
        <v>23.68</v>
      </c>
      <c r="H22" s="2">
        <v>17.670000000000002</v>
      </c>
      <c r="I22" s="2">
        <v>18.34</v>
      </c>
      <c r="J22" s="2">
        <v>19.698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210.33960000000002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276.60000000000002</v>
      </c>
      <c r="F25" s="2">
        <v>276.60000000000002</v>
      </c>
      <c r="G25" s="2">
        <v>414.9</v>
      </c>
      <c r="H25" s="2">
        <v>287.66000000000003</v>
      </c>
      <c r="I25" s="2">
        <v>287.66000000000003</v>
      </c>
      <c r="J25" s="2">
        <v>185.4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2784.1000000000004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221.4</v>
      </c>
      <c r="F26" s="2">
        <v>221.4</v>
      </c>
      <c r="G26" s="2">
        <v>332.1</v>
      </c>
      <c r="H26" s="2">
        <v>230.26</v>
      </c>
      <c r="I26" s="2">
        <v>230.26</v>
      </c>
      <c r="J26" s="2">
        <v>219.6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2598.7399999999998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162.61000000000001</v>
      </c>
      <c r="F27" s="2">
        <v>146.06</v>
      </c>
      <c r="G27" s="2">
        <v>213.85</v>
      </c>
      <c r="H27" s="2">
        <v>193.04</v>
      </c>
      <c r="I27" s="2">
        <v>107.11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1961.3600000000001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SUM(OSRRefD21_1x_1)</f>
        <v>5603.4</v>
      </c>
      <c r="F28" s="1">
        <f>SUM(OSRRefD21_1x_2)</f>
        <v>5369.52</v>
      </c>
      <c r="G28" s="1">
        <f>SUM(OSRRefD21_1x_3)</f>
        <v>7640.66</v>
      </c>
      <c r="H28" s="1">
        <f>SUM(OSRRefD21_1x_4)</f>
        <v>7062.34</v>
      </c>
      <c r="I28" s="1">
        <f>SUM(OSRRefD21_1x_5)</f>
        <v>6934.1900000000005</v>
      </c>
      <c r="J28" s="1">
        <f>SUM(OSRRefE21_1x_0)</f>
        <v>9194.6</v>
      </c>
      <c r="K28" s="1">
        <f>SUM(OSRRefE21_1x_1)</f>
        <v>7355.68</v>
      </c>
      <c r="L28" s="1">
        <f>SUM(OSRRefE21_1x_2)</f>
        <v>7355.68</v>
      </c>
      <c r="M28" s="1">
        <f>SUM(OSRRefE21_1x_3)</f>
        <v>9194.6</v>
      </c>
      <c r="N28" s="1">
        <f>SUM(OSRRefE21_1x_4)</f>
        <v>7355.68</v>
      </c>
      <c r="O28" s="1">
        <f>SUM(OSRRefE21_1x_5)</f>
        <v>7355.68</v>
      </c>
      <c r="Q28" s="2">
        <f>SUM(OSRRefD20_1x)+IFERROR(SUM(OSRRefE20_1x),0)</f>
        <v>88724.9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3929.4</v>
      </c>
      <c r="F32" s="2">
        <v>4497</v>
      </c>
      <c r="G32" s="2">
        <v>6407.25</v>
      </c>
      <c r="H32" s="2">
        <v>5004.96</v>
      </c>
      <c r="I32" s="2">
        <v>4724.62</v>
      </c>
      <c r="J32" s="2">
        <v>5994.6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60609.7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-1657</v>
      </c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3331</v>
      </c>
      <c r="F36" s="2">
        <v>872.52</v>
      </c>
      <c r="G36" s="2">
        <v>1233.4100000000001</v>
      </c>
      <c r="H36" s="2">
        <v>2057.38</v>
      </c>
      <c r="I36" s="2">
        <v>2209.5700000000002</v>
      </c>
      <c r="J36" s="2">
        <v>3200</v>
      </c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28115.200000000001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SUM(OSRRefD21_2x_1)</f>
        <v>173.21</v>
      </c>
      <c r="F39" s="1">
        <f>SUM(OSRRefD21_2x_2)</f>
        <v>53.6</v>
      </c>
      <c r="G39" s="1">
        <f>SUM(OSRRefD21_2x_3)</f>
        <v>346.42</v>
      </c>
      <c r="H39" s="1">
        <f>SUM(OSRRefD21_2x_4)</f>
        <v>346.42</v>
      </c>
      <c r="I39" s="1">
        <f>SUM(OSRRefD21_2x_5)</f>
        <v>0</v>
      </c>
      <c r="J39" s="1">
        <f>SUM(OSRRefE21_2x_0)</f>
        <v>417</v>
      </c>
      <c r="K39" s="1">
        <f>SUM(OSRRefE21_2x_1)</f>
        <v>417</v>
      </c>
      <c r="L39" s="1">
        <f>SUM(OSRRefE21_2x_2)</f>
        <v>417</v>
      </c>
      <c r="M39" s="1">
        <f>SUM(OSRRefE21_2x_3)</f>
        <v>417</v>
      </c>
      <c r="N39" s="1">
        <f>SUM(OSRRefE21_2x_4)</f>
        <v>417</v>
      </c>
      <c r="O39" s="1">
        <f>SUM(OSRRefE21_2x_5)</f>
        <v>413</v>
      </c>
      <c r="Q39" s="2">
        <f>SUM(OSRRefD20_2x)+IFERROR(SUM(OSRRefE20_2x),0)</f>
        <v>3590.86</v>
      </c>
    </row>
    <row r="40" spans="1:17" s="35" customFormat="1" hidden="1" outlineLevel="1" x14ac:dyDescent="0.3">
      <c r="A40" s="34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173.21</v>
      </c>
      <c r="F40" s="2">
        <v>53.6</v>
      </c>
      <c r="G40" s="2">
        <v>346.42</v>
      </c>
      <c r="H40" s="2">
        <v>346.42</v>
      </c>
      <c r="I40" s="2"/>
      <c r="J40" s="2">
        <v>417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3590.86</v>
      </c>
    </row>
    <row r="41" spans="1:17" s="35" customFormat="1" collapsed="1" x14ac:dyDescent="0.3">
      <c r="A41" s="34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SUM(OSRRefD21_3x_1)</f>
        <v>63.36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0</v>
      </c>
      <c r="J41" s="1">
        <f>SUM(OSRRefE21_3x_0)</f>
        <v>1600</v>
      </c>
      <c r="K41" s="1">
        <f>SUM(OSRRefE21_3x_1)</f>
        <v>1600</v>
      </c>
      <c r="L41" s="1">
        <f>SUM(OSRRefE21_3x_2)</f>
        <v>1600</v>
      </c>
      <c r="M41" s="1">
        <f>SUM(OSRRefE21_3x_3)</f>
        <v>1600</v>
      </c>
      <c r="N41" s="1">
        <f>SUM(OSRRefE21_3x_4)</f>
        <v>1600</v>
      </c>
      <c r="O41" s="1">
        <f>SUM(OSRRefE21_3x_5)</f>
        <v>1600</v>
      </c>
      <c r="Q41" s="2">
        <f>SUM(OSRRefD20_3x)+IFERROR(SUM(OSRRefE20_3x),0)</f>
        <v>9663.36</v>
      </c>
    </row>
    <row r="42" spans="1:17" s="35" customFormat="1" hidden="1" outlineLevel="1" x14ac:dyDescent="0.3">
      <c r="A42" s="34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/>
      <c r="F42" s="2"/>
      <c r="G42" s="2"/>
      <c r="H42" s="2"/>
      <c r="I42" s="2"/>
      <c r="J42" s="2">
        <v>1600</v>
      </c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9600</v>
      </c>
    </row>
    <row r="43" spans="1:17" s="35" customFormat="1" hidden="1" outlineLevel="1" x14ac:dyDescent="0.3">
      <c r="A43" s="34"/>
      <c r="B43" s="10" t="str">
        <f>CONCATENATE("          ","6375", " - ","OUTSIDE REPAIRS &amp; MAINTENANCE")</f>
        <v xml:space="preserve">          6375 - OUTSIDE REPAIRS &amp; MAINTENANCE</v>
      </c>
      <c r="C43" s="14"/>
      <c r="D43" s="2"/>
      <c r="E43" s="2">
        <v>63.36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SUM(OSRRefD21_3_1x)+IFERROR(SUM(OSRRefE21_3_1x),0)</f>
        <v>63.36</v>
      </c>
    </row>
    <row r="44" spans="1:17" s="35" customFormat="1" collapsed="1" x14ac:dyDescent="0.3">
      <c r="A44" s="34"/>
      <c r="B44" s="14" t="str">
        <f>CONCATENATE("     ","Supplies                                          ")</f>
        <v xml:space="preserve">     Supplies                                          </v>
      </c>
      <c r="C44" s="14"/>
      <c r="D44" s="1">
        <f>SUM(OSRRefD21_4x_0)</f>
        <v>0</v>
      </c>
      <c r="E44" s="1">
        <f>SUM(OSRRefD21_4x_1)</f>
        <v>4.5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6.62</v>
      </c>
      <c r="J44" s="1">
        <f>SUM(OSRRefE21_4x_0)</f>
        <v>600</v>
      </c>
      <c r="K44" s="1">
        <f>SUM(OSRRefE21_4x_1)</f>
        <v>600</v>
      </c>
      <c r="L44" s="1">
        <f>SUM(OSRRefE21_4x_2)</f>
        <v>600</v>
      </c>
      <c r="M44" s="1">
        <f>SUM(OSRRefE21_4x_3)</f>
        <v>600</v>
      </c>
      <c r="N44" s="1">
        <f>SUM(OSRRefE21_4x_4)</f>
        <v>600</v>
      </c>
      <c r="O44" s="1">
        <f>SUM(OSRRefE21_4x_5)</f>
        <v>600</v>
      </c>
      <c r="Q44" s="2">
        <f>SUM(OSRRefD20_4x)+IFERROR(SUM(OSRRefE20_4x),0)</f>
        <v>3611.12</v>
      </c>
    </row>
    <row r="45" spans="1:17" s="35" customFormat="1" hidden="1" outlineLevel="1" x14ac:dyDescent="0.3">
      <c r="A45" s="34"/>
      <c r="B45" s="10" t="str">
        <f>CONCATENATE("          ","6241", " - ","OFFICE EXPENSE")</f>
        <v xml:space="preserve">          6241 - OFFICE EXPENSE</v>
      </c>
      <c r="C45" s="14"/>
      <c r="D45" s="2"/>
      <c r="E45" s="2">
        <v>4.5</v>
      </c>
      <c r="F45" s="2"/>
      <c r="G45" s="2"/>
      <c r="H45" s="2"/>
      <c r="I45" s="2">
        <v>6.62</v>
      </c>
      <c r="J45" s="2">
        <v>600</v>
      </c>
      <c r="K45" s="2">
        <v>600</v>
      </c>
      <c r="L45" s="2">
        <v>600</v>
      </c>
      <c r="M45" s="2">
        <v>600</v>
      </c>
      <c r="N45" s="2">
        <v>600</v>
      </c>
      <c r="O45" s="2">
        <v>600</v>
      </c>
      <c r="P45" s="9"/>
      <c r="Q45" s="2">
        <f>SUM(OSRRefD21_4_0x)+IFERROR(SUM(OSRRefE21_4_0x),0)</f>
        <v>3611.12</v>
      </c>
    </row>
    <row r="46" spans="1:17" s="35" customFormat="1" collapsed="1" x14ac:dyDescent="0.3">
      <c r="A46" s="34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108</v>
      </c>
      <c r="E46" s="1">
        <f>SUM(OSRRefD21_5x_1)</f>
        <v>36</v>
      </c>
      <c r="F46" s="1">
        <f>SUM(OSRRefD21_5x_2)</f>
        <v>36</v>
      </c>
      <c r="G46" s="1">
        <f>SUM(OSRRefD21_5x_3)</f>
        <v>36</v>
      </c>
      <c r="H46" s="1">
        <f>SUM(OSRRefD21_5x_4)</f>
        <v>36</v>
      </c>
      <c r="I46" s="1">
        <f>SUM(OSRRefD21_5x_5)</f>
        <v>36.1</v>
      </c>
      <c r="J46" s="1">
        <f>SUM(OSRRefE21_5x_0)</f>
        <v>72</v>
      </c>
      <c r="K46" s="1">
        <f>SUM(OSRRefE21_5x_1)</f>
        <v>72</v>
      </c>
      <c r="L46" s="1">
        <f>SUM(OSRRefE21_5x_2)</f>
        <v>72</v>
      </c>
      <c r="M46" s="1">
        <f>SUM(OSRRefE21_5x_3)</f>
        <v>72</v>
      </c>
      <c r="N46" s="1">
        <f>SUM(OSRRefE21_5x_4)</f>
        <v>72</v>
      </c>
      <c r="O46" s="1">
        <f>SUM(OSRRefE21_5x_5)</f>
        <v>72</v>
      </c>
      <c r="Q46" s="2">
        <f>SUM(OSRRefD20_5x)+IFERROR(SUM(OSRRefE20_5x),0)</f>
        <v>720.1</v>
      </c>
    </row>
    <row r="47" spans="1:17" s="35" customFormat="1" hidden="1" outlineLevel="1" x14ac:dyDescent="0.3">
      <c r="A47" s="34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/>
      <c r="G47" s="2"/>
      <c r="H47" s="2"/>
      <c r="I47" s="2"/>
      <c r="J47" s="2">
        <v>36</v>
      </c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SUM(OSRRefD21_5_0x)+IFERROR(SUM(OSRRefE21_5_0x),0)</f>
        <v>216</v>
      </c>
    </row>
    <row r="48" spans="1:17" s="35" customFormat="1" hidden="1" outlineLevel="1" x14ac:dyDescent="0.3">
      <c r="A48" s="34"/>
      <c r="B48" s="10" t="str">
        <f>CONCATENATE("          ","6309", " - ","TELEPHONE")</f>
        <v xml:space="preserve">          6309 - TELEPHONE</v>
      </c>
      <c r="C48" s="14"/>
      <c r="D48" s="2">
        <v>108</v>
      </c>
      <c r="E48" s="2">
        <v>36</v>
      </c>
      <c r="F48" s="2">
        <v>36</v>
      </c>
      <c r="G48" s="2">
        <v>36</v>
      </c>
      <c r="H48" s="2">
        <v>36</v>
      </c>
      <c r="I48" s="2">
        <v>36.1</v>
      </c>
      <c r="J48" s="2">
        <v>36</v>
      </c>
      <c r="K48" s="2">
        <v>36</v>
      </c>
      <c r="L48" s="2">
        <v>36</v>
      </c>
      <c r="M48" s="2">
        <v>36</v>
      </c>
      <c r="N48" s="2">
        <v>36</v>
      </c>
      <c r="O48" s="2">
        <v>36</v>
      </c>
      <c r="P48" s="9"/>
      <c r="Q48" s="2">
        <f>SUM(OSRRefD21_5_1x)+IFERROR(SUM(OSRRefE21_5_1x),0)</f>
        <v>504.1</v>
      </c>
    </row>
    <row r="49" spans="1:17" s="29" customFormat="1" x14ac:dyDescent="0.3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">
      <c r="A50" s="23"/>
      <c r="B50" s="16" t="s">
        <v>293</v>
      </c>
      <c r="C50" s="22"/>
      <c r="D50" s="3">
        <f t="shared" ref="D50:I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/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276</v>
      </c>
      <c r="C52" s="17"/>
      <c r="D52" s="7">
        <f t="shared" ref="D52:O52" si="5">IFERROR(+D14-D17+D50, 0)</f>
        <v>-10470.700000000001</v>
      </c>
      <c r="E52" s="7">
        <f t="shared" si="5"/>
        <v>-7822.7099999999991</v>
      </c>
      <c r="F52" s="7">
        <f t="shared" si="5"/>
        <v>-7247.0000000000009</v>
      </c>
      <c r="G52" s="7">
        <f t="shared" si="5"/>
        <v>-10350.699999999999</v>
      </c>
      <c r="H52" s="7">
        <f t="shared" si="5"/>
        <v>-9325.01</v>
      </c>
      <c r="I52" s="7">
        <f t="shared" si="5"/>
        <v>-8783.9900000000016</v>
      </c>
      <c r="J52" s="7">
        <f t="shared" si="5"/>
        <v>-14579.94678461538</v>
      </c>
      <c r="K52" s="7">
        <f t="shared" si="5"/>
        <v>-12236.75742769231</v>
      </c>
      <c r="L52" s="7">
        <f t="shared" si="5"/>
        <v>-12236.75742769231</v>
      </c>
      <c r="M52" s="7">
        <f t="shared" si="5"/>
        <v>-14579.94678461538</v>
      </c>
      <c r="N52" s="7">
        <f t="shared" si="5"/>
        <v>-12236.75742769231</v>
      </c>
      <c r="O52" s="7">
        <f t="shared" si="5"/>
        <v>-12232.75742769231</v>
      </c>
      <c r="Q52" s="7">
        <f>IFERROR(+Q14-Q17+Q50, 0)</f>
        <v>-132103.03328</v>
      </c>
    </row>
    <row r="53" spans="1:17" s="6" customFormat="1" x14ac:dyDescent="0.3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3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35">
      <c r="A57" s="6"/>
      <c r="B57" s="17" t="s">
        <v>124</v>
      </c>
      <c r="C57" s="17"/>
      <c r="D57" s="8">
        <f t="shared" ref="D57:O57" si="7">IFERROR(+D52-D55, 0)</f>
        <v>-10470.700000000001</v>
      </c>
      <c r="E57" s="8">
        <f t="shared" si="7"/>
        <v>-7822.7099999999991</v>
      </c>
      <c r="F57" s="8">
        <f t="shared" si="7"/>
        <v>-7247.0000000000009</v>
      </c>
      <c r="G57" s="8">
        <f t="shared" si="7"/>
        <v>-10350.699999999999</v>
      </c>
      <c r="H57" s="8">
        <f t="shared" si="7"/>
        <v>-9325.01</v>
      </c>
      <c r="I57" s="8">
        <f t="shared" si="7"/>
        <v>-8783.9900000000016</v>
      </c>
      <c r="J57" s="8">
        <f t="shared" si="7"/>
        <v>-14579.94678461538</v>
      </c>
      <c r="K57" s="8">
        <f t="shared" si="7"/>
        <v>-12236.75742769231</v>
      </c>
      <c r="L57" s="8">
        <f t="shared" si="7"/>
        <v>-12236.75742769231</v>
      </c>
      <c r="M57" s="8">
        <f t="shared" si="7"/>
        <v>-14579.94678461538</v>
      </c>
      <c r="N57" s="8">
        <f t="shared" si="7"/>
        <v>-12236.75742769231</v>
      </c>
      <c r="O57" s="8">
        <f t="shared" si="7"/>
        <v>-12232.75742769231</v>
      </c>
      <c r="Q57" s="8">
        <f>IFERROR(+Q52-Q55, 0)</f>
        <v>-132103.03328</v>
      </c>
    </row>
    <row r="58" spans="1:17" ht="15" thickTop="1" x14ac:dyDescent="0.3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35">
      <c r="A61" s="6"/>
      <c r="B61" s="17" t="s">
        <v>294</v>
      </c>
      <c r="C61" s="17"/>
      <c r="D61" s="8">
        <f t="shared" ref="D61:O61" si="9">IFERROR(SUM(D57:D60), 0)</f>
        <v>-10470.700000000001</v>
      </c>
      <c r="E61" s="8">
        <f t="shared" si="9"/>
        <v>-7822.7099999999991</v>
      </c>
      <c r="F61" s="8">
        <f t="shared" si="9"/>
        <v>-7247.0000000000009</v>
      </c>
      <c r="G61" s="8">
        <f t="shared" si="9"/>
        <v>-10350.699999999999</v>
      </c>
      <c r="H61" s="8">
        <f t="shared" si="9"/>
        <v>-9325.01</v>
      </c>
      <c r="I61" s="8">
        <f t="shared" si="9"/>
        <v>-8783.9900000000016</v>
      </c>
      <c r="J61" s="8">
        <f t="shared" si="9"/>
        <v>-14579.94678461538</v>
      </c>
      <c r="K61" s="8">
        <f t="shared" si="9"/>
        <v>-12236.75742769231</v>
      </c>
      <c r="L61" s="8">
        <f t="shared" si="9"/>
        <v>-12236.75742769231</v>
      </c>
      <c r="M61" s="8">
        <f t="shared" si="9"/>
        <v>-14579.94678461538</v>
      </c>
      <c r="N61" s="8">
        <f t="shared" si="9"/>
        <v>-12236.75742769231</v>
      </c>
      <c r="O61" s="8">
        <f t="shared" si="9"/>
        <v>-12232.75742769231</v>
      </c>
      <c r="Q61" s="8">
        <f>IFERROR(SUM(Q57:Q60), 0)</f>
        <v>-132103.03328</v>
      </c>
    </row>
    <row r="62" spans="1:17" ht="15" thickTop="1" x14ac:dyDescent="0.3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">
      <c r="A63" s="5"/>
      <c r="B63" s="28">
        <v>44575.850692245367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Q63" s="13"/>
    </row>
    <row r="64" spans="1:17" x14ac:dyDescent="0.3">
      <c r="A64" s="5"/>
      <c r="B64" s="26" t="s">
        <v>54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Q64" s="13"/>
    </row>
    <row r="65" spans="1:17" x14ac:dyDescent="0.3">
      <c r="A65" s="5"/>
      <c r="B65" s="3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Q65" s="13"/>
    </row>
    <row r="66" spans="1:17" x14ac:dyDescent="0.3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Q6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6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102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1519459.5899999999</v>
      </c>
      <c r="F10" s="3">
        <f>SUM(OSRRefD11x_2)</f>
        <v>600565.54000000015</v>
      </c>
      <c r="G10" s="3">
        <f>SUM(OSRRefD11x_3)</f>
        <v>576253.80999999994</v>
      </c>
      <c r="H10" s="3">
        <f>SUM(OSRRefD11x_4)</f>
        <v>310059.67000000004</v>
      </c>
      <c r="I10" s="3">
        <f>SUM(OSRRefD11x_5)</f>
        <v>510701.06000000006</v>
      </c>
      <c r="J10" s="3">
        <f>SUM(OSRRefE11x_0)</f>
        <v>2029660</v>
      </c>
      <c r="K10" s="3">
        <f>SUM(OSRRefE11x_1)</f>
        <v>644404</v>
      </c>
      <c r="L10" s="3">
        <f>SUM(OSRRefE11x_2)</f>
        <v>453103</v>
      </c>
      <c r="M10" s="3">
        <f>SUM(OSRRefE11x_3)</f>
        <v>437221</v>
      </c>
      <c r="N10" s="3">
        <f>SUM(OSRRefE11x_4)</f>
        <v>423189</v>
      </c>
      <c r="O10" s="3">
        <f>SUM(OSRRefE11x_5)</f>
        <v>297500</v>
      </c>
      <c r="P10" s="24"/>
      <c r="Q10" s="3">
        <f>SUM(OSRRefG11x)</f>
        <v>8022614.8900000006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--188048.33</f>
        <v>188048.33</v>
      </c>
      <c r="E11" s="2">
        <f>--1220653.3</f>
        <v>1220653.3</v>
      </c>
      <c r="F11" s="2">
        <f>--486744.8</f>
        <v>486744.8</v>
      </c>
      <c r="G11" s="2">
        <f>--482384.27</f>
        <v>482384.27</v>
      </c>
      <c r="H11" s="2">
        <f>--264894.44</f>
        <v>264894.44</v>
      </c>
      <c r="I11" s="2">
        <f>--482781.22</f>
        <v>482781.22</v>
      </c>
      <c r="J11" s="2">
        <v>1974057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6898458.3600000003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ref="D12:E12" si="0">0</f>
        <v>0</v>
      </c>
      <c r="E12" s="2">
        <f t="shared" si="0"/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>
        <f>--70.75</f>
        <v>70.75</v>
      </c>
      <c r="J12" s="2"/>
      <c r="K12" s="2"/>
      <c r="L12" s="2"/>
      <c r="M12" s="2"/>
      <c r="N12" s="2"/>
      <c r="O12" s="2"/>
      <c r="Q12" s="2">
        <f>SUM(OSRRefD11_1x)+IFERROR(SUM(OSRRefE11_1x),0)</f>
        <v>698.72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>--39098.54</f>
        <v>39098.54</v>
      </c>
      <c r="E13" s="2">
        <f>--332101.69</f>
        <v>332101.69</v>
      </c>
      <c r="F13" s="2">
        <f>--134343.25</f>
        <v>134343.25</v>
      </c>
      <c r="G13" s="2">
        <f>--128659.35</f>
        <v>128659.35</v>
      </c>
      <c r="H13" s="2">
        <f>--62408.96</f>
        <v>62408.959999999999</v>
      </c>
      <c r="I13" s="2">
        <f>--93325.28</f>
        <v>93325.28</v>
      </c>
      <c r="J13" s="2">
        <v>55603</v>
      </c>
      <c r="K13" s="2">
        <v>130739</v>
      </c>
      <c r="L13" s="2">
        <v>129281</v>
      </c>
      <c r="M13" s="2">
        <v>115103</v>
      </c>
      <c r="N13" s="2">
        <v>68429</v>
      </c>
      <c r="O13" s="2">
        <v>12970</v>
      </c>
      <c r="Q13" s="2">
        <f>SUM(OSRRefD11_2x)+IFERROR(SUM(OSRRefE11_2x),0)</f>
        <v>1302062.0699999998</v>
      </c>
    </row>
    <row r="14" spans="1:18" s="9" customFormat="1" hidden="1" outlineLevel="1" x14ac:dyDescent="0.3">
      <c r="A14" s="23"/>
      <c r="B14" s="10" t="str">
        <f>CONCATENATE("          ","4141", " - ","NON-TAXABLE SALES-LOGO GIFTS")</f>
        <v xml:space="preserve">          4141 - NON-TAXABLE SALES-LOGO GIFTS</v>
      </c>
      <c r="C14" s="22"/>
      <c r="D14" s="2">
        <f>0</f>
        <v>0</v>
      </c>
      <c r="E14" s="2">
        <f>--389.5</f>
        <v>389.5</v>
      </c>
      <c r="F14" s="2">
        <f>--71.05</f>
        <v>71.05</v>
      </c>
      <c r="G14" s="2">
        <f>-460.55</f>
        <v>-460.55</v>
      </c>
      <c r="H14" s="2">
        <f t="shared" ref="H14:I16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3">
      <c r="A15" s="23"/>
      <c r="B15" s="10" t="str">
        <f>CONCATENATE("          ","4146", " - ","NON-TAXABLE SALES-COIN OP MACH")</f>
        <v xml:space="preserve">          4146 - NON-TAXABLE SALES-COIN OP MACH</v>
      </c>
      <c r="C15" s="22"/>
      <c r="D15" s="2">
        <f>--20.2</f>
        <v>20.2</v>
      </c>
      <c r="E15" s="2">
        <f>--2713.4</f>
        <v>2713.4</v>
      </c>
      <c r="F15" s="2">
        <f>--4759.35</f>
        <v>4759.3500000000004</v>
      </c>
      <c r="G15" s="2">
        <f>-7492.95</f>
        <v>-7492.95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9.0949470177292824E-13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0</f>
        <v>0</v>
      </c>
      <c r="E16" s="2">
        <f>--130.35</f>
        <v>130.35</v>
      </c>
      <c r="F16" s="2">
        <f>-130.35</f>
        <v>-130.35</v>
      </c>
      <c r="G16" s="2">
        <f>0</f>
        <v>0</v>
      </c>
      <c r="H16" s="2">
        <f t="shared" si="1"/>
        <v>0</v>
      </c>
      <c r="I16" s="2">
        <f t="shared" si="1"/>
        <v>0</v>
      </c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3">
      <c r="A17" s="23"/>
      <c r="B17" s="10" t="str">
        <f>CONCATENATE("          ","4200", " - ","TAXABLE RETURNS")</f>
        <v xml:space="preserve">          4200 - TAXABLE RETURNS</v>
      </c>
      <c r="C17" s="22"/>
      <c r="D17" s="2">
        <f>-5566.27</f>
        <v>-5566.27</v>
      </c>
      <c r="E17" s="2">
        <f>-20240.57</f>
        <v>-20240.57</v>
      </c>
      <c r="F17" s="2">
        <f>-22646.07</f>
        <v>-22646.07</v>
      </c>
      <c r="G17" s="2">
        <f>-13940.06</f>
        <v>-13940.06</v>
      </c>
      <c r="H17" s="2">
        <f>-10145.23</f>
        <v>-10145.23</v>
      </c>
      <c r="I17" s="2">
        <f>-14880.61</f>
        <v>-14880.61</v>
      </c>
      <c r="J17" s="2"/>
      <c r="K17" s="2"/>
      <c r="L17" s="2"/>
      <c r="M17" s="2"/>
      <c r="N17" s="2"/>
      <c r="O17" s="2"/>
      <c r="Q17" s="2">
        <f>SUM(OSRRefD11_6x)+IFERROR(SUM(OSRRefE11_6x),0)</f>
        <v>-87418.81</v>
      </c>
    </row>
    <row r="18" spans="1:17" s="9" customFormat="1" hidden="1" outlineLevel="1" x14ac:dyDescent="0.3">
      <c r="A18" s="23"/>
      <c r="B18" s="10" t="str">
        <f>CONCATENATE("          ","4300", " - ","NON-TAX RETURNS")</f>
        <v xml:space="preserve">          4300 - NON-TAX RETURNS</v>
      </c>
      <c r="C18" s="22"/>
      <c r="D18" s="2">
        <f>-1102.58</f>
        <v>-1102.58</v>
      </c>
      <c r="E18" s="2">
        <f>-16288.08</f>
        <v>-16288.08</v>
      </c>
      <c r="F18" s="2">
        <f>-2715.58</f>
        <v>-2715.58</v>
      </c>
      <c r="G18" s="2">
        <f>-5693.23</f>
        <v>-5693.23</v>
      </c>
      <c r="H18" s="2">
        <f>-700.92</f>
        <v>-700.92</v>
      </c>
      <c r="I18" s="2">
        <f>-678.95</f>
        <v>-678.95</v>
      </c>
      <c r="J18" s="2"/>
      <c r="K18" s="2"/>
      <c r="L18" s="2"/>
      <c r="M18" s="2"/>
      <c r="N18" s="2"/>
      <c r="O18" s="2"/>
      <c r="Q18" s="2">
        <f>SUM(OSRRefD11_7x)+IFERROR(SUM(OSRRefE11_7x),0)</f>
        <v>-27179.339999999997</v>
      </c>
    </row>
    <row r="19" spans="1:17" s="9" customFormat="1" hidden="1" outlineLevel="1" x14ac:dyDescent="0.3">
      <c r="A19" s="23"/>
      <c r="B19" s="10" t="str">
        <f>CONCATENATE("          ","4500", " - ","SALES DISCOUNT")</f>
        <v xml:space="preserve">          4500 - SALES DISCOUNT</v>
      </c>
      <c r="C19" s="22"/>
      <c r="D19" s="2">
        <f t="shared" ref="D19:F19" si="2">0</f>
        <v>0</v>
      </c>
      <c r="E19" s="2">
        <f t="shared" si="2"/>
        <v>0</v>
      </c>
      <c r="F19" s="2">
        <f t="shared" si="2"/>
        <v>0</v>
      </c>
      <c r="G19" s="2">
        <f>-7607.55</f>
        <v>-7607.55</v>
      </c>
      <c r="H19" s="2">
        <f>-6481.93</f>
        <v>-6481.93</v>
      </c>
      <c r="I19" s="2">
        <f>-49916.63</f>
        <v>-49916.63</v>
      </c>
      <c r="J19" s="2"/>
      <c r="K19" s="2"/>
      <c r="L19" s="2"/>
      <c r="M19" s="2"/>
      <c r="N19" s="2"/>
      <c r="O19" s="2"/>
      <c r="Q19" s="2">
        <f>SUM(OSRRefD11_8x)+IFERROR(SUM(OSRRefE11_8x),0)</f>
        <v>-64006.11</v>
      </c>
    </row>
    <row r="20" spans="1:17" x14ac:dyDescent="0.3">
      <c r="A20" s="5"/>
      <c r="B20" s="6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3">
      <c r="A21" s="23"/>
      <c r="B21" s="16" t="s">
        <v>218</v>
      </c>
      <c r="C21" s="22"/>
      <c r="D21" s="3">
        <f>SUM(OSRRefD14x_0)</f>
        <v>127421.44</v>
      </c>
      <c r="E21" s="3">
        <f>SUM(OSRRefD14x_1)</f>
        <v>995584.52999999991</v>
      </c>
      <c r="F21" s="3">
        <f>SUM(OSRRefD14x_2)</f>
        <v>393284.00999999995</v>
      </c>
      <c r="G21" s="3">
        <f>SUM(OSRRefD14x_3)</f>
        <v>322826.75999999995</v>
      </c>
      <c r="H21" s="3">
        <f>SUM(OSRRefD14x_4)</f>
        <v>153443.26999999999</v>
      </c>
      <c r="I21" s="3">
        <f>SUM(OSRRefD14x_5)</f>
        <v>265819.62999999995</v>
      </c>
      <c r="J21" s="3">
        <f>SUM(OSRRefE14x_0)</f>
        <v>1329492</v>
      </c>
      <c r="K21" s="3">
        <f>SUM(OSRRefE14x_1)</f>
        <v>345609</v>
      </c>
      <c r="L21" s="3">
        <f>SUM(OSRRefE14x_2)</f>
        <v>203868</v>
      </c>
      <c r="M21" s="3">
        <f>SUM(OSRRefE14x_3)</f>
        <v>198098</v>
      </c>
      <c r="N21" s="3">
        <f>SUM(OSRRefE14x_4)</f>
        <v>199811</v>
      </c>
      <c r="O21" s="3">
        <f>SUM(OSRRefE14x_5)</f>
        <v>156900</v>
      </c>
      <c r="Q21" s="3">
        <f>SUM(OSRRefG14x)</f>
        <v>4692157.6400000015</v>
      </c>
    </row>
    <row r="22" spans="1:17" s="9" customFormat="1" hidden="1" outlineLevel="1" x14ac:dyDescent="0.3">
      <c r="A22" s="23"/>
      <c r="B22" s="10" t="str">
        <f>CONCATENATE("          ","5000", " - ","PURCHASES @ COST")</f>
        <v xml:space="preserve">          5000 - PURCHASES @ COST</v>
      </c>
      <c r="C22" s="22"/>
      <c r="D22" s="2">
        <v>344773.67</v>
      </c>
      <c r="E22" s="2">
        <v>500180.97</v>
      </c>
      <c r="F22" s="2">
        <v>726303.95</v>
      </c>
      <c r="G22" s="2">
        <v>744878.53</v>
      </c>
      <c r="H22" s="2">
        <v>-67930.34</v>
      </c>
      <c r="I22" s="2">
        <v>283717.63</v>
      </c>
      <c r="J22" s="2">
        <v>1329492</v>
      </c>
      <c r="K22" s="2">
        <v>345609</v>
      </c>
      <c r="L22" s="2">
        <v>203868</v>
      </c>
      <c r="M22" s="2">
        <v>198098</v>
      </c>
      <c r="N22" s="2">
        <v>199811</v>
      </c>
      <c r="O22" s="2">
        <v>156900</v>
      </c>
      <c r="Q22" s="2">
        <f>SUM(OSRRefD14_0x)+IFERROR(SUM(OSRRefE14_0x),0)</f>
        <v>4965702.41</v>
      </c>
    </row>
    <row r="23" spans="1:17" s="9" customFormat="1" hidden="1" outlineLevel="1" x14ac:dyDescent="0.3">
      <c r="A23" s="23"/>
      <c r="B23" s="10" t="str">
        <f>CONCATENATE("          ","5001", " - ","PURCHASES @ COST-NEW TEXT")</f>
        <v xml:space="preserve">          5001 - PURCHASES @ COST-NEW TEXT</v>
      </c>
      <c r="C23" s="22"/>
      <c r="D23" s="2">
        <v>0</v>
      </c>
      <c r="E23" s="2">
        <v>0</v>
      </c>
      <c r="F23" s="2">
        <v>0</v>
      </c>
      <c r="G23" s="2">
        <v>0</v>
      </c>
      <c r="H23" s="2"/>
      <c r="I23" s="2"/>
      <c r="J23" s="2"/>
      <c r="K23" s="2"/>
      <c r="L23" s="2"/>
      <c r="M23" s="2"/>
      <c r="N23" s="2"/>
      <c r="O23" s="2"/>
      <c r="Q23" s="2">
        <f>SUM(OSRRefD14_1x)+IFERROR(SUM(OSRRefE14_1x),0)</f>
        <v>0</v>
      </c>
    </row>
    <row r="24" spans="1:17" s="9" customFormat="1" hidden="1" outlineLevel="1" x14ac:dyDescent="0.3">
      <c r="A24" s="23"/>
      <c r="B24" s="10" t="str">
        <f>CONCATENATE("          ","5002", " - ","PURCHASES @ COST-USED TEXT")</f>
        <v xml:space="preserve">          5002 - PURCHASES @ COST-USED TEXT</v>
      </c>
      <c r="C24" s="22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SUM(OSRRefD14_2x)+IFERROR(SUM(OSRRefE14_2x),0)</f>
        <v>0</v>
      </c>
    </row>
    <row r="25" spans="1:17" s="9" customFormat="1" hidden="1" outlineLevel="1" x14ac:dyDescent="0.3">
      <c r="A25" s="23"/>
      <c r="B25" s="10" t="str">
        <f>CONCATENATE("          ","5004", " - ","PURCHASES @ COST-DIGITAL TEXT")</f>
        <v xml:space="preserve">          5004 - PURCHASES @ COST-DIGITAL TEXT</v>
      </c>
      <c r="C25" s="22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SUM(OSRRefD14_3x)+IFERROR(SUM(OSRRefE14_3x),0)</f>
        <v>0</v>
      </c>
    </row>
    <row r="26" spans="1:17" s="9" customFormat="1" hidden="1" outlineLevel="1" x14ac:dyDescent="0.3">
      <c r="A26" s="23"/>
      <c r="B26" s="10" t="str">
        <f>CONCATENATE("          ","5026", " - ","PURCHASES @ COST-WRITING INSTR")</f>
        <v xml:space="preserve">          5026 - PURCHASES @ COST-WRITING INSTR</v>
      </c>
      <c r="C26" s="22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SUM(OSRRefD14_4x)+IFERROR(SUM(OSRRefE14_4x),0)</f>
        <v>0</v>
      </c>
    </row>
    <row r="27" spans="1:17" s="9" customFormat="1" hidden="1" outlineLevel="1" x14ac:dyDescent="0.3">
      <c r="A27" s="23"/>
      <c r="B27" s="10" t="str">
        <f>CONCATENATE("          ","5027", " - ","PURCHASES @ COST-SCHOOL SUPPLI")</f>
        <v xml:space="preserve">          5027 - PURCHASES @ COST-SCHOOL SUPPLI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SUM(OSRRefD14_5x)+IFERROR(SUM(OSRRefE14_5x),0)</f>
        <v>0</v>
      </c>
    </row>
    <row r="28" spans="1:17" s="9" customFormat="1" hidden="1" outlineLevel="1" x14ac:dyDescent="0.3">
      <c r="A28" s="23"/>
      <c r="B28" s="10" t="str">
        <f>CONCATENATE("          ","5028", " - ","PURCHASES @ COST-ART/TECH")</f>
        <v xml:space="preserve">          5028 - PURCHASES @ COST-ART/TECH</v>
      </c>
      <c r="C28" s="22"/>
      <c r="D28" s="2"/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SUM(OSRRefD14_6x)+IFERROR(SUM(OSRRefE14_6x),0)</f>
        <v>0</v>
      </c>
    </row>
    <row r="29" spans="1:17" s="9" customFormat="1" hidden="1" outlineLevel="1" x14ac:dyDescent="0.3">
      <c r="A29" s="23"/>
      <c r="B29" s="10" t="str">
        <f>CONCATENATE("          ","5031", " - ","PURCHASES @ COST-FOOD")</f>
        <v xml:space="preserve">          5031 - PURCHASES @ COST-FOOD</v>
      </c>
      <c r="C29" s="22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SUM(OSRRefD14_7x)+IFERROR(SUM(OSRRefE14_7x),0)</f>
        <v>0</v>
      </c>
    </row>
    <row r="30" spans="1:17" s="9" customFormat="1" hidden="1" outlineLevel="1" x14ac:dyDescent="0.3">
      <c r="A30" s="23"/>
      <c r="B30" s="10" t="str">
        <f>CONCATENATE("          ","5040", " - ","PURCHASES @ COST-LOGO CLOTHING")</f>
        <v xml:space="preserve">          5040 - PURCHASES @ COST-LOGO CLOTHING</v>
      </c>
      <c r="C30" s="22"/>
      <c r="D30" s="2">
        <v>0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SUM(OSRRefD14_8x)+IFERROR(SUM(OSRRefE14_8x),0)</f>
        <v>0</v>
      </c>
    </row>
    <row r="31" spans="1:17" s="9" customFormat="1" hidden="1" outlineLevel="1" x14ac:dyDescent="0.3">
      <c r="A31" s="23"/>
      <c r="B31" s="10" t="str">
        <f>CONCATENATE("          ","5041", " - ","PURCHASES @ COST-LOGO GIFTS")</f>
        <v xml:space="preserve">          5041 - PURCHASES @ COST-LOGO GIFTS</v>
      </c>
      <c r="C31" s="22"/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SUM(OSRRefD14_9x)+IFERROR(SUM(OSRRefE14_9x),0)</f>
        <v>0</v>
      </c>
    </row>
    <row r="32" spans="1:17" s="9" customFormat="1" hidden="1" outlineLevel="1" x14ac:dyDescent="0.3">
      <c r="A32" s="23"/>
      <c r="B32" s="10" t="str">
        <f>CONCATENATE("          ","5042", " - ","PURCHASES @ COST-EVERYDAY GIFT")</f>
        <v xml:space="preserve">          5042 - PURCHASES @ COST-EVERYDAY GIFT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SUM(OSRRefD14_10x)+IFERROR(SUM(OSRRefE14_10x),0)</f>
        <v>0</v>
      </c>
    </row>
    <row r="33" spans="1:17" s="9" customFormat="1" hidden="1" outlineLevel="1" x14ac:dyDescent="0.3">
      <c r="A33" s="23"/>
      <c r="B33" s="10" t="str">
        <f>CONCATENATE("          ","5043", " - ","PURCHASES @ COST-CARDS")</f>
        <v xml:space="preserve">          5043 - PURCHASES @ COST-CARDS</v>
      </c>
      <c r="C33" s="22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SUM(OSRRefD14_11x)+IFERROR(SUM(OSRRefE14_11x),0)</f>
        <v>0</v>
      </c>
    </row>
    <row r="34" spans="1:17" s="9" customFormat="1" hidden="1" outlineLevel="1" x14ac:dyDescent="0.3">
      <c r="A34" s="23"/>
      <c r="B34" s="10" t="str">
        <f>CONCATENATE("          ","5044", " - ","PURCHASES @ COST-ACCESSORIES")</f>
        <v xml:space="preserve">          5044 - PURCHASES @ COST-ACCESSORIES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SUM(OSRRefD14_12x)+IFERROR(SUM(OSRRefE14_12x),0)</f>
        <v>0</v>
      </c>
    </row>
    <row r="35" spans="1:17" s="9" customFormat="1" hidden="1" outlineLevel="1" x14ac:dyDescent="0.3">
      <c r="A35" s="23"/>
      <c r="B35" s="10" t="str">
        <f>CONCATENATE("          ","5045", " - ","PURCHASES @ COST-SPECIAL ORDER")</f>
        <v xml:space="preserve">          5045 - PURCHASES @ COST-SPECIAL ORDER</v>
      </c>
      <c r="C35" s="22"/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SUM(OSRRefD14_13x)+IFERROR(SUM(OSRRefE14_13x),0)</f>
        <v>0</v>
      </c>
    </row>
    <row r="36" spans="1:17" s="9" customFormat="1" hidden="1" outlineLevel="1" x14ac:dyDescent="0.3">
      <c r="A36" s="23"/>
      <c r="B36" s="10" t="str">
        <f>CONCATENATE("          ","5053", " - ","PURCHASES @ COST-FOOD")</f>
        <v xml:space="preserve">          5053 - PURCHASES @ COST-FOOD</v>
      </c>
      <c r="C36" s="22"/>
      <c r="D36" s="2">
        <v>0</v>
      </c>
      <c r="E36" s="2">
        <v>14985.56</v>
      </c>
      <c r="F36" s="2">
        <v>8370.32</v>
      </c>
      <c r="G36" s="2">
        <v>12727.12</v>
      </c>
      <c r="H36" s="2">
        <v>3858.46</v>
      </c>
      <c r="I36" s="2">
        <v>1757.73</v>
      </c>
      <c r="J36" s="2"/>
      <c r="K36" s="2"/>
      <c r="L36" s="2"/>
      <c r="M36" s="2"/>
      <c r="N36" s="2"/>
      <c r="O36" s="2"/>
      <c r="Q36" s="2">
        <f>SUM(OSRRefD14_14x)+IFERROR(SUM(OSRRefE14_14x),0)</f>
        <v>41699.19</v>
      </c>
    </row>
    <row r="37" spans="1:17" s="9" customFormat="1" hidden="1" outlineLevel="1" x14ac:dyDescent="0.3">
      <c r="A37" s="23"/>
      <c r="B37" s="10" t="str">
        <f>CONCATENATE("          ","5059", " - ","PURCHASES @ COST-FOOD")</f>
        <v xml:space="preserve">          5059 - PURCHASES @ COST-FOOD</v>
      </c>
      <c r="C37" s="22"/>
      <c r="D37" s="2"/>
      <c r="E37" s="2">
        <v>-11739</v>
      </c>
      <c r="F37" s="2">
        <v>-398.6</v>
      </c>
      <c r="G37" s="2">
        <v>-579.55999999999995</v>
      </c>
      <c r="H37" s="2">
        <v>11508.72</v>
      </c>
      <c r="I37" s="2">
        <v>5966.56</v>
      </c>
      <c r="J37" s="2"/>
      <c r="K37" s="2"/>
      <c r="L37" s="2"/>
      <c r="M37" s="2"/>
      <c r="N37" s="2"/>
      <c r="O37" s="2"/>
      <c r="Q37" s="2">
        <f>SUM(OSRRefD14_15x)+IFERROR(SUM(OSRRefE14_15x),0)</f>
        <v>4758.12</v>
      </c>
    </row>
    <row r="38" spans="1:17" s="9" customFormat="1" hidden="1" outlineLevel="1" x14ac:dyDescent="0.3">
      <c r="A38" s="23"/>
      <c r="B38" s="10" t="str">
        <f>CONCATENATE("          ","5200", " - ","PURCHASES OFFSET")</f>
        <v xml:space="preserve">          5200 - PURCHASES OFFSET</v>
      </c>
      <c r="C38" s="22"/>
      <c r="D38" s="2">
        <v>-346348.67</v>
      </c>
      <c r="E38" s="2">
        <v>-303819.98</v>
      </c>
      <c r="F38" s="2">
        <v>-697456.98</v>
      </c>
      <c r="G38" s="2">
        <v>-764729.36</v>
      </c>
      <c r="H38" s="2">
        <v>57137.78</v>
      </c>
      <c r="I38" s="2">
        <v>-295778.33</v>
      </c>
      <c r="J38" s="2"/>
      <c r="K38" s="2"/>
      <c r="L38" s="2"/>
      <c r="M38" s="2"/>
      <c r="N38" s="2"/>
      <c r="O38" s="2"/>
      <c r="Q38" s="2">
        <f>SUM(OSRRefD14_16x)+IFERROR(SUM(OSRRefE14_16x),0)</f>
        <v>-2350995.5399999996</v>
      </c>
    </row>
    <row r="39" spans="1:17" s="9" customFormat="1" hidden="1" outlineLevel="1" x14ac:dyDescent="0.3">
      <c r="A39" s="23"/>
      <c r="B39" s="10" t="str">
        <f>CONCATENATE("          ","5300", " - ","COG$ OFFSET")</f>
        <v xml:space="preserve">          5300 - COG$ OFFSET</v>
      </c>
      <c r="C39" s="22"/>
      <c r="D39" s="2">
        <v>125411.41</v>
      </c>
      <c r="E39" s="2">
        <v>789387.34</v>
      </c>
      <c r="F39" s="2">
        <v>339299.2</v>
      </c>
      <c r="G39" s="2">
        <v>308234.86</v>
      </c>
      <c r="H39" s="2">
        <v>137747.54999999999</v>
      </c>
      <c r="I39" s="2">
        <v>260630.8</v>
      </c>
      <c r="J39" s="2"/>
      <c r="K39" s="2"/>
      <c r="L39" s="2"/>
      <c r="M39" s="2"/>
      <c r="N39" s="2"/>
      <c r="O39" s="2"/>
      <c r="Q39" s="2">
        <f>SUM(OSRRefD14_17x)+IFERROR(SUM(OSRRefE14_17x),0)</f>
        <v>1960711.1600000001</v>
      </c>
    </row>
    <row r="40" spans="1:17" s="9" customFormat="1" hidden="1" outlineLevel="1" x14ac:dyDescent="0.3">
      <c r="A40" s="23"/>
      <c r="B40" s="10" t="str">
        <f>CONCATENATE("          ","5500", " - ","FREIGHT-IN")</f>
        <v xml:space="preserve">          5500 - FREIGHT-IN</v>
      </c>
      <c r="C40" s="22"/>
      <c r="D40" s="2">
        <v>3585.03</v>
      </c>
      <c r="E40" s="2">
        <v>6589.64</v>
      </c>
      <c r="F40" s="2">
        <v>17166.12</v>
      </c>
      <c r="G40" s="2">
        <v>22295.17</v>
      </c>
      <c r="H40" s="2">
        <v>11121.1</v>
      </c>
      <c r="I40" s="2">
        <v>9525.24</v>
      </c>
      <c r="J40" s="2"/>
      <c r="K40" s="2"/>
      <c r="L40" s="2"/>
      <c r="M40" s="2"/>
      <c r="N40" s="2"/>
      <c r="O40" s="2"/>
      <c r="Q40" s="2">
        <f>SUM(OSRRefD14_18x)+IFERROR(SUM(OSRRefE14_18x),0)</f>
        <v>70282.3</v>
      </c>
    </row>
    <row r="41" spans="1:17" s="9" customFormat="1" hidden="1" outlineLevel="1" x14ac:dyDescent="0.3">
      <c r="A41" s="23"/>
      <c r="B41" s="10" t="str">
        <f>CONCATENATE("          ","5501", " - ","FREIGHT-IN-NEW TEXT")</f>
        <v xml:space="preserve">          5501 - FREIGHT-IN-NEW TEXT</v>
      </c>
      <c r="C41" s="22"/>
      <c r="D41" s="2">
        <v>0</v>
      </c>
      <c r="E41" s="2">
        <v>0</v>
      </c>
      <c r="F41" s="2"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Q41" s="2">
        <f>SUM(OSRRefD14_19x)+IFERROR(SUM(OSRRefE14_19x),0)</f>
        <v>0</v>
      </c>
    </row>
    <row r="42" spans="1:17" s="9" customFormat="1" hidden="1" outlineLevel="1" x14ac:dyDescent="0.3">
      <c r="A42" s="23"/>
      <c r="B42" s="10" t="str">
        <f>CONCATENATE("          ","5502", " - ","FREIGHT-IN-USED TEXT")</f>
        <v xml:space="preserve">          5502 - FREIGHT-IN-USED TEXT</v>
      </c>
      <c r="C42" s="22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SUM(OSRRefD14_20x)+IFERROR(SUM(OSRRefE14_20x),0)</f>
        <v>0</v>
      </c>
    </row>
    <row r="43" spans="1:17" s="9" customFormat="1" hidden="1" outlineLevel="1" x14ac:dyDescent="0.3">
      <c r="A43" s="23"/>
      <c r="B43" s="10" t="str">
        <f>CONCATENATE("          ","5518", " - ","FREIGHT-IN-STUDY GUIDES")</f>
        <v xml:space="preserve">          5518 - FREIGHT-IN-STUDY GUIDES</v>
      </c>
      <c r="C43" s="22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SUM(OSRRefD14_21x)+IFERROR(SUM(OSRRefE14_21x),0)</f>
        <v>0</v>
      </c>
    </row>
    <row r="44" spans="1:17" s="9" customFormat="1" hidden="1" outlineLevel="1" x14ac:dyDescent="0.3">
      <c r="A44" s="23"/>
      <c r="B44" s="10" t="str">
        <f>CONCATENATE("          ","5527", " - ","FREIGHT-IN-SCHOOL SUPPLIES")</f>
        <v xml:space="preserve">          5527 - FREIGHT-IN-SCHOOL SUPPLIES</v>
      </c>
      <c r="C44" s="22"/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SUM(OSRRefD14_22x)+IFERROR(SUM(OSRRefE14_22x),0)</f>
        <v>0</v>
      </c>
    </row>
    <row r="45" spans="1:17" s="9" customFormat="1" hidden="1" outlineLevel="1" x14ac:dyDescent="0.3">
      <c r="A45" s="23"/>
      <c r="B45" s="10" t="str">
        <f>CONCATENATE("          ","5528", " - ","FREIGHT-IN-ART/TECH")</f>
        <v xml:space="preserve">          5528 - FREIGHT-IN-ART/TECH</v>
      </c>
      <c r="C45" s="22"/>
      <c r="D45" s="2"/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Q45" s="2">
        <f>SUM(OSRRefD14_23x)+IFERROR(SUM(OSRRefE14_23x),0)</f>
        <v>0</v>
      </c>
    </row>
    <row r="46" spans="1:17" s="9" customFormat="1" hidden="1" outlineLevel="1" x14ac:dyDescent="0.3">
      <c r="A46" s="23"/>
      <c r="B46" s="10" t="str">
        <f>CONCATENATE("          ","5540", " - ","FREIGHT-IN-LOGO CLOTHING")</f>
        <v xml:space="preserve">          5540 - FREIGHT-IN-LOGO CLOTHING</v>
      </c>
      <c r="C46" s="22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SUM(OSRRefD14_24x)+IFERROR(SUM(OSRRefE14_24x),0)</f>
        <v>0</v>
      </c>
    </row>
    <row r="47" spans="1:17" s="9" customFormat="1" hidden="1" outlineLevel="1" x14ac:dyDescent="0.3">
      <c r="A47" s="23"/>
      <c r="B47" s="10" t="str">
        <f>CONCATENATE("          ","5541", " - ","FREIGHT-IN-LOGO GIFTS")</f>
        <v xml:space="preserve">          5541 - FREIGHT-IN-LOGO GIFTS</v>
      </c>
      <c r="C47" s="22"/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2"/>
      <c r="Q47" s="2">
        <f>SUM(OSRRefD14_25x)+IFERROR(SUM(OSRRefE14_25x),0)</f>
        <v>0</v>
      </c>
    </row>
    <row r="48" spans="1:17" s="9" customFormat="1" hidden="1" outlineLevel="1" x14ac:dyDescent="0.3">
      <c r="A48" s="23"/>
      <c r="B48" s="10" t="str">
        <f>CONCATENATE("          ","5542", " - ","FREIGHT-IN-EVERYDAY GIFTS")</f>
        <v xml:space="preserve">          5542 - FREIGHT-IN-EVERYDAY GIFTS</v>
      </c>
      <c r="C48" s="22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SUM(OSRRefD14_26x)+IFERROR(SUM(OSRRefE14_26x),0)</f>
        <v>0</v>
      </c>
    </row>
    <row r="49" spans="1:17" s="9" customFormat="1" hidden="1" outlineLevel="1" x14ac:dyDescent="0.3">
      <c r="A49" s="23"/>
      <c r="B49" s="10" t="str">
        <f>CONCATENATE("          ","5544", " - ","FREIGHT-IN-ACCESSORIES")</f>
        <v xml:space="preserve">          5544 - FREIGHT-IN-ACCESSORIES</v>
      </c>
      <c r="C49" s="22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SUM(OSRRefD14_27x)+IFERROR(SUM(OSRRefE14_27x),0)</f>
        <v>0</v>
      </c>
    </row>
    <row r="50" spans="1:17" s="9" customFormat="1" hidden="1" outlineLevel="1" x14ac:dyDescent="0.3">
      <c r="A50" s="23"/>
      <c r="B50" s="10" t="str">
        <f>CONCATENATE("          ","5545", " - ","FREIGHT-IN-SPECIAL ORDERS")</f>
        <v xml:space="preserve">          5545 - FREIGHT-IN-SPECIAL ORDERS</v>
      </c>
      <c r="C50" s="22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SUM(OSRRefD14_28x)+IFERROR(SUM(OSRRefE14_28x),0)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105</v>
      </c>
      <c r="C52" s="17"/>
      <c r="D52" s="7">
        <f t="shared" ref="D52:O52" si="3">IFERROR(+D10-D21, 0)</f>
        <v>93076.780000000028</v>
      </c>
      <c r="E52" s="7">
        <f t="shared" si="3"/>
        <v>523875.05999999994</v>
      </c>
      <c r="F52" s="7">
        <f t="shared" si="3"/>
        <v>207281.5300000002</v>
      </c>
      <c r="G52" s="7">
        <f t="shared" si="3"/>
        <v>253427.05</v>
      </c>
      <c r="H52" s="7">
        <f t="shared" si="3"/>
        <v>156616.40000000005</v>
      </c>
      <c r="I52" s="7">
        <f t="shared" si="3"/>
        <v>244881.43000000011</v>
      </c>
      <c r="J52" s="7">
        <f t="shared" si="3"/>
        <v>700168</v>
      </c>
      <c r="K52" s="7">
        <f t="shared" si="3"/>
        <v>298795</v>
      </c>
      <c r="L52" s="7">
        <f t="shared" si="3"/>
        <v>249235</v>
      </c>
      <c r="M52" s="7">
        <f t="shared" si="3"/>
        <v>239123</v>
      </c>
      <c r="N52" s="7">
        <f t="shared" si="3"/>
        <v>223378</v>
      </c>
      <c r="O52" s="7">
        <f t="shared" si="3"/>
        <v>140600</v>
      </c>
      <c r="Q52" s="7">
        <f>IFERROR(+Q10-Q21, 0)</f>
        <v>3330457.2499999991</v>
      </c>
    </row>
    <row r="53" spans="1:17" s="6" customFormat="1" x14ac:dyDescent="0.3">
      <c r="B53" s="16"/>
      <c r="C53" s="16"/>
      <c r="D53" s="4">
        <f t="shared" ref="D53:O53" si="4">IFERROR(D52/D10, 0)</f>
        <v>0.42212032369240904</v>
      </c>
      <c r="E53" s="4">
        <f t="shared" si="4"/>
        <v>0.3447772243814658</v>
      </c>
      <c r="F53" s="4">
        <f t="shared" si="4"/>
        <v>0.34514389553553165</v>
      </c>
      <c r="G53" s="4">
        <f t="shared" si="4"/>
        <v>0.43978373001993692</v>
      </c>
      <c r="H53" s="4">
        <f t="shared" si="4"/>
        <v>0.50511696667934924</v>
      </c>
      <c r="I53" s="4">
        <f t="shared" si="4"/>
        <v>0.47950053207252025</v>
      </c>
      <c r="J53" s="4">
        <f t="shared" si="4"/>
        <v>0.34496812273976923</v>
      </c>
      <c r="K53" s="4">
        <f t="shared" si="4"/>
        <v>0.46367651349153638</v>
      </c>
      <c r="L53" s="4">
        <f t="shared" si="4"/>
        <v>0.55006256855505264</v>
      </c>
      <c r="M53" s="4">
        <f t="shared" si="4"/>
        <v>0.54691563305513691</v>
      </c>
      <c r="N53" s="4">
        <f t="shared" si="4"/>
        <v>0.52784453282103272</v>
      </c>
      <c r="O53" s="4">
        <f t="shared" si="4"/>
        <v>0.4726050420168067</v>
      </c>
      <c r="P53" s="18"/>
      <c r="Q53" s="4">
        <f>IFERROR(Q52/Q10, 0)</f>
        <v>0.41513363107474288</v>
      </c>
    </row>
    <row r="54" spans="1:17" x14ac:dyDescent="0.3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3">
      <c r="A55" s="6"/>
      <c r="B55" s="16" t="s">
        <v>255</v>
      </c>
      <c r="C55" s="6"/>
      <c r="D55" s="12">
        <f>SUM(OSRRefD20x_0)</f>
        <v>375360.22999999992</v>
      </c>
      <c r="E55" s="12">
        <f>SUM(OSRRefD20x_1)</f>
        <v>368043.92</v>
      </c>
      <c r="F55" s="12">
        <f>SUM(OSRRefD20x_2)</f>
        <v>310333.58</v>
      </c>
      <c r="G55" s="12">
        <f>SUM(OSRRefD20x_3)</f>
        <v>351602.14999999997</v>
      </c>
      <c r="H55" s="12">
        <f>SUM(OSRRefD20x_4)</f>
        <v>282093.9599999999</v>
      </c>
      <c r="I55" s="12">
        <f>SUM(OSRRefD20x_5)</f>
        <v>298095.88</v>
      </c>
      <c r="J55" s="12">
        <f>SUM(OSRRefE20x_0)</f>
        <v>472252.470923891</v>
      </c>
      <c r="K55" s="12">
        <f>SUM(OSRRefE20x_1)</f>
        <v>367788.3406835628</v>
      </c>
      <c r="L55" s="12">
        <f>SUM(OSRRefE20x_2)</f>
        <v>318379.89686681284</v>
      </c>
      <c r="M55" s="12">
        <f>SUM(OSRRefE20x_3)</f>
        <v>373196.93499389105</v>
      </c>
      <c r="N55" s="12">
        <f>SUM(OSRRefE20x_4)</f>
        <v>317370.49562256283</v>
      </c>
      <c r="O55" s="12">
        <f>SUM(OSRRefE20x_5)</f>
        <v>307047.75167221285</v>
      </c>
      <c r="Q55" s="12">
        <f>SUM(OSRRefG20x)</f>
        <v>4141565.6107629333</v>
      </c>
    </row>
    <row r="56" spans="1:17" s="35" customFormat="1" collapsed="1" x14ac:dyDescent="0.3">
      <c r="A56" s="34"/>
      <c r="B56" s="14" t="str">
        <f>CONCATENATE("     ","*Benefits                                         ")</f>
        <v xml:space="preserve">     *Benefits                                         </v>
      </c>
      <c r="C56" s="14"/>
      <c r="D56" s="1">
        <f>SUM(OSRRefD21_0x_0)</f>
        <v>47426.359999999993</v>
      </c>
      <c r="E56" s="1">
        <f>SUM(OSRRefD21_0x_1)</f>
        <v>52380.290000000008</v>
      </c>
      <c r="F56" s="1">
        <f>SUM(OSRRefD21_0x_2)</f>
        <v>46350.500000000007</v>
      </c>
      <c r="G56" s="1">
        <f>SUM(OSRRefD21_0x_3)</f>
        <v>60766.619999999988</v>
      </c>
      <c r="H56" s="1">
        <f>SUM(OSRRefD21_0x_4)</f>
        <v>51732.02</v>
      </c>
      <c r="I56" s="1">
        <f>SUM(OSRRefD21_0x_5)</f>
        <v>45313.18</v>
      </c>
      <c r="J56" s="1">
        <f>SUM(OSRRefE21_0x_0)</f>
        <v>59996.798855785208</v>
      </c>
      <c r="K56" s="1">
        <f>SUM(OSRRefE21_0x_1)</f>
        <v>48492.150844078249</v>
      </c>
      <c r="L56" s="1">
        <f>SUM(OSRRefE21_0x_2)</f>
        <v>47708.070127328254</v>
      </c>
      <c r="M56" s="1">
        <f>SUM(OSRRefE21_0x_3)</f>
        <v>55782.52702578521</v>
      </c>
      <c r="N56" s="1">
        <f>SUM(OSRRefE21_0x_4)</f>
        <v>47509.395483078246</v>
      </c>
      <c r="O56" s="1">
        <f>SUM(OSRRefE21_0x_5)</f>
        <v>46827.007907728257</v>
      </c>
      <c r="Q56" s="2">
        <f>SUM(OSRRefD20_0x)+IFERROR(SUM(OSRRefE20_0x),0)</f>
        <v>610284.92024378339</v>
      </c>
    </row>
    <row r="57" spans="1:17" s="35" customFormat="1" hidden="1" outlineLevel="1" x14ac:dyDescent="0.3">
      <c r="A57" s="34"/>
      <c r="B57" s="10" t="str">
        <f>CONCATENATE("          ","6111", " - ","F.I.C.A.")</f>
        <v xml:space="preserve">          6111 - F.I.C.A.</v>
      </c>
      <c r="C57" s="14"/>
      <c r="D57" s="2">
        <v>9628.01</v>
      </c>
      <c r="E57" s="2">
        <v>12488.15</v>
      </c>
      <c r="F57" s="2">
        <v>7763.04</v>
      </c>
      <c r="G57" s="2">
        <v>11022.23</v>
      </c>
      <c r="H57" s="2">
        <v>9049.4699999999993</v>
      </c>
      <c r="I57" s="2">
        <v>7212.15</v>
      </c>
      <c r="J57" s="2">
        <v>12895.0617442439</v>
      </c>
      <c r="K57" s="2">
        <v>9769.8333569951501</v>
      </c>
      <c r="L57" s="2">
        <v>9627.6310507451508</v>
      </c>
      <c r="M57" s="2">
        <v>12039.984401243901</v>
      </c>
      <c r="N57" s="2">
        <v>9523.8391514951509</v>
      </c>
      <c r="O57" s="2">
        <v>9259.5489188951506</v>
      </c>
      <c r="P57" s="9"/>
      <c r="Q57" s="2">
        <f>SUM(OSRRefD21_0_0x)+IFERROR(SUM(OSRRefE21_0_0x),0)</f>
        <v>120278.9486236184</v>
      </c>
    </row>
    <row r="58" spans="1:17" s="35" customFormat="1" hidden="1" outlineLevel="1" x14ac:dyDescent="0.3">
      <c r="A58" s="34"/>
      <c r="B58" s="10" t="str">
        <f>CONCATENATE("          ","6112", " - ","COMPENSATION INSURANCE")</f>
        <v xml:space="preserve">          6112 - COMPENSATION INSURANCE</v>
      </c>
      <c r="C58" s="14"/>
      <c r="D58" s="2">
        <v>1973.41</v>
      </c>
      <c r="E58" s="2">
        <v>2572.08</v>
      </c>
      <c r="F58" s="2">
        <v>2568.84</v>
      </c>
      <c r="G58" s="2">
        <v>3415.54</v>
      </c>
      <c r="H58" s="2">
        <v>2480.96</v>
      </c>
      <c r="I58" s="2">
        <v>2292.13</v>
      </c>
      <c r="J58" s="2">
        <v>4730.2511730807701</v>
      </c>
      <c r="K58" s="2">
        <v>3224.3015278646199</v>
      </c>
      <c r="L58" s="2">
        <v>2978.8359683646199</v>
      </c>
      <c r="M58" s="2">
        <v>3751.0977040807702</v>
      </c>
      <c r="N58" s="2">
        <v>2867.6546088646101</v>
      </c>
      <c r="O58" s="2">
        <v>2726.3259538646198</v>
      </c>
      <c r="P58" s="9"/>
      <c r="Q58" s="2">
        <f>SUM(OSRRefD21_0_1x)+IFERROR(SUM(OSRRefE21_0_1x),0)</f>
        <v>35581.426936120013</v>
      </c>
    </row>
    <row r="59" spans="1:17" s="35" customFormat="1" hidden="1" outlineLevel="1" x14ac:dyDescent="0.3">
      <c r="A59" s="34"/>
      <c r="B59" s="10" t="str">
        <f>CONCATENATE("          ","6113", " - ","GROUP INSURANCE")</f>
        <v xml:space="preserve">          6113 - GROUP INSURANCE</v>
      </c>
      <c r="C59" s="14"/>
      <c r="D59" s="2">
        <v>17896.5</v>
      </c>
      <c r="E59" s="2">
        <v>17896.5</v>
      </c>
      <c r="F59" s="2">
        <v>17921.21</v>
      </c>
      <c r="G59" s="2">
        <v>18566.900000000001</v>
      </c>
      <c r="H59" s="2">
        <v>17975.22</v>
      </c>
      <c r="I59" s="2">
        <v>16584.52</v>
      </c>
      <c r="J59" s="2">
        <v>18761.1538461538</v>
      </c>
      <c r="K59" s="2">
        <v>17692.9230769231</v>
      </c>
      <c r="L59" s="2">
        <v>17692.9230769231</v>
      </c>
      <c r="M59" s="2">
        <v>18761.1538461538</v>
      </c>
      <c r="N59" s="2">
        <v>17692.9230769231</v>
      </c>
      <c r="O59" s="2">
        <v>17692.9230769231</v>
      </c>
      <c r="P59" s="9"/>
      <c r="Q59" s="2">
        <f>SUM(OSRRefD21_0_2x)+IFERROR(SUM(OSRRefE21_0_2x),0)</f>
        <v>215134.85</v>
      </c>
    </row>
    <row r="60" spans="1:17" s="35" customFormat="1" hidden="1" outlineLevel="1" x14ac:dyDescent="0.3">
      <c r="A60" s="34"/>
      <c r="B60" s="10" t="str">
        <f>CONCATENATE("          ","6114", " - ","STATE UNEMPLOYMENT INSURANCE")</f>
        <v xml:space="preserve">          6114 - STATE UNEMPLOYMENT INSURANCE</v>
      </c>
      <c r="C60" s="14"/>
      <c r="D60" s="2">
        <v>357.53</v>
      </c>
      <c r="E60" s="2">
        <v>466.29</v>
      </c>
      <c r="F60" s="2">
        <v>462.15</v>
      </c>
      <c r="G60" s="2">
        <v>614.05999999999995</v>
      </c>
      <c r="H60" s="2">
        <v>443.79</v>
      </c>
      <c r="I60" s="2">
        <v>412.35</v>
      </c>
      <c r="J60" s="2">
        <v>592.44151350865297</v>
      </c>
      <c r="K60" s="2">
        <v>373.32508425692299</v>
      </c>
      <c r="L60" s="2">
        <v>347.39153325692303</v>
      </c>
      <c r="M60" s="2">
        <v>436.73789550865399</v>
      </c>
      <c r="N60" s="2">
        <v>348.45779775692301</v>
      </c>
      <c r="O60" s="2">
        <v>330.351435006923</v>
      </c>
      <c r="P60" s="9"/>
      <c r="Q60" s="2">
        <f>SUM(OSRRefD21_0_3x)+IFERROR(SUM(OSRRefE21_0_3x),0)</f>
        <v>5184.8752592949986</v>
      </c>
    </row>
    <row r="61" spans="1:17" s="35" customFormat="1" hidden="1" outlineLevel="1" x14ac:dyDescent="0.3">
      <c r="A61" s="34"/>
      <c r="B61" s="10" t="str">
        <f>CONCATENATE("          ","6115", " - ","P.E.R.S.")</f>
        <v xml:space="preserve">          6115 - P.E.R.S.</v>
      </c>
      <c r="C61" s="14"/>
      <c r="D61" s="2">
        <v>6296.23</v>
      </c>
      <c r="E61" s="2">
        <v>6296.23</v>
      </c>
      <c r="F61" s="2">
        <v>6296.23</v>
      </c>
      <c r="G61" s="2">
        <v>9444.34</v>
      </c>
      <c r="H61" s="2">
        <v>8571.01</v>
      </c>
      <c r="I61" s="2">
        <v>5703.78</v>
      </c>
      <c r="J61" s="2">
        <v>5766.90857321154</v>
      </c>
      <c r="K61" s="2">
        <v>4613.5268585692302</v>
      </c>
      <c r="L61" s="2">
        <v>4613.5268585692302</v>
      </c>
      <c r="M61" s="2">
        <v>5766.90857321154</v>
      </c>
      <c r="N61" s="2">
        <v>4613.5268585692302</v>
      </c>
      <c r="O61" s="2">
        <v>4613.5268585692302</v>
      </c>
      <c r="P61" s="9"/>
      <c r="Q61" s="2">
        <f>SUM(OSRRefD21_0_4x)+IFERROR(SUM(OSRRefE21_0_4x),0)</f>
        <v>72595.744580700004</v>
      </c>
    </row>
    <row r="62" spans="1:17" s="35" customFormat="1" hidden="1" outlineLevel="1" x14ac:dyDescent="0.3">
      <c r="A62" s="34"/>
      <c r="B62" s="10" t="str">
        <f>CONCATENATE("          ","6116", " - ","EDUCATIONAL BENEFITS")</f>
        <v xml:space="preserve">          6116 - EDUCATIONAL BENEFITS</v>
      </c>
      <c r="C62" s="14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SUM(OSRRefD21_0_5x)+IFERROR(SUM(OSRRefE21_0_5x),0)</f>
        <v>0</v>
      </c>
    </row>
    <row r="63" spans="1:17" s="35" customFormat="1" hidden="1" outlineLevel="1" x14ac:dyDescent="0.3">
      <c r="A63" s="34"/>
      <c r="B63" s="10" t="str">
        <f>CONCATENATE("          ","6117", " - ","RETIREMENT STAFF HOURLY")</f>
        <v xml:space="preserve">          6117 - RETIREMENT STAFF HOURLY</v>
      </c>
      <c r="C63" s="14"/>
      <c r="D63" s="2">
        <v>552.85</v>
      </c>
      <c r="E63" s="2">
        <v>962.68</v>
      </c>
      <c r="F63" s="2">
        <v>424.12</v>
      </c>
      <c r="G63" s="2">
        <v>576.07000000000005</v>
      </c>
      <c r="H63" s="2">
        <v>588.41999999999996</v>
      </c>
      <c r="I63" s="2">
        <v>590.27</v>
      </c>
      <c r="J63" s="2"/>
      <c r="K63" s="2"/>
      <c r="L63" s="2"/>
      <c r="M63" s="2"/>
      <c r="N63" s="2"/>
      <c r="O63" s="2"/>
      <c r="P63" s="9"/>
      <c r="Q63" s="2">
        <f>SUM(OSRRefD21_0_6x)+IFERROR(SUM(OSRRefE21_0_6x),0)</f>
        <v>3694.4100000000003</v>
      </c>
    </row>
    <row r="64" spans="1:17" s="35" customFormat="1" hidden="1" outlineLevel="1" x14ac:dyDescent="0.3">
      <c r="A64" s="34"/>
      <c r="B64" s="10" t="str">
        <f>CONCATENATE("          ","6118", " - ","VACATION")</f>
        <v xml:space="preserve">          6118 - VACATION</v>
      </c>
      <c r="C64" s="14"/>
      <c r="D64" s="2">
        <v>5400.79</v>
      </c>
      <c r="E64" s="2">
        <v>5549.94</v>
      </c>
      <c r="F64" s="2">
        <v>4674.6000000000004</v>
      </c>
      <c r="G64" s="2">
        <v>7622.27</v>
      </c>
      <c r="H64" s="2">
        <v>5724.91</v>
      </c>
      <c r="I64" s="2">
        <v>5565.87</v>
      </c>
      <c r="J64" s="2">
        <v>5030.6720235288503</v>
      </c>
      <c r="K64" s="2">
        <v>4024.5376188230798</v>
      </c>
      <c r="L64" s="2">
        <v>4024.5376188230798</v>
      </c>
      <c r="M64" s="2">
        <v>5030.6720235288503</v>
      </c>
      <c r="N64" s="2">
        <v>4024.5376188230798</v>
      </c>
      <c r="O64" s="2">
        <v>4024.5376188230798</v>
      </c>
      <c r="P64" s="9"/>
      <c r="Q64" s="2">
        <f>SUM(OSRRefD21_0_7x)+IFERROR(SUM(OSRRefE21_0_7x),0)</f>
        <v>60697.874522350015</v>
      </c>
    </row>
    <row r="65" spans="1:17" s="35" customFormat="1" hidden="1" outlineLevel="1" x14ac:dyDescent="0.3">
      <c r="A65" s="34"/>
      <c r="B65" s="10" t="str">
        <f>CONCATENATE("          ","6119", " - ","SICK LEAVE")</f>
        <v xml:space="preserve">          6119 - SICK LEAVE</v>
      </c>
      <c r="C65" s="14"/>
      <c r="D65" s="2">
        <v>3886.05</v>
      </c>
      <c r="E65" s="2">
        <v>3886.05</v>
      </c>
      <c r="F65" s="2">
        <v>3898.37</v>
      </c>
      <c r="G65" s="2">
        <v>5499.11</v>
      </c>
      <c r="H65" s="2">
        <v>3903.07</v>
      </c>
      <c r="I65" s="2">
        <v>4000.86</v>
      </c>
      <c r="J65" s="2">
        <v>9945.3099820576899</v>
      </c>
      <c r="K65" s="2">
        <v>6518.7033206461501</v>
      </c>
      <c r="L65" s="2">
        <v>6148.2240206461502</v>
      </c>
      <c r="M65" s="2">
        <v>7720.9725820576896</v>
      </c>
      <c r="N65" s="2">
        <v>6163.4563706461504</v>
      </c>
      <c r="O65" s="2">
        <v>5904.7940456461502</v>
      </c>
      <c r="P65" s="9"/>
      <c r="Q65" s="2">
        <f>SUM(OSRRefD21_0_8x)+IFERROR(SUM(OSRRefE21_0_8x),0)</f>
        <v>67474.970321699977</v>
      </c>
    </row>
    <row r="66" spans="1:17" s="35" customFormat="1" hidden="1" outlineLevel="1" x14ac:dyDescent="0.3">
      <c r="A66" s="34"/>
      <c r="B66" s="10" t="str">
        <f>CONCATENATE("          ","6156", " - ","EMPLOYEE MEALS")</f>
        <v xml:space="preserve">          6156 - EMPLOYEE MEALS</v>
      </c>
      <c r="C66" s="14"/>
      <c r="D66" s="2">
        <v>1434.99</v>
      </c>
      <c r="E66" s="2">
        <v>2262.37</v>
      </c>
      <c r="F66" s="2">
        <v>2341.94</v>
      </c>
      <c r="G66" s="2">
        <v>4006.1</v>
      </c>
      <c r="H66" s="2">
        <v>2995.17</v>
      </c>
      <c r="I66" s="2">
        <v>2951.25</v>
      </c>
      <c r="J66" s="2">
        <v>2275</v>
      </c>
      <c r="K66" s="2">
        <v>2275</v>
      </c>
      <c r="L66" s="2">
        <v>2275</v>
      </c>
      <c r="M66" s="2">
        <v>2275</v>
      </c>
      <c r="N66" s="2">
        <v>2275</v>
      </c>
      <c r="O66" s="2">
        <v>2275</v>
      </c>
      <c r="P66" s="9"/>
      <c r="Q66" s="2">
        <f>SUM(OSRRefD21_0_9x)+IFERROR(SUM(OSRRefE21_0_9x),0)</f>
        <v>29641.82</v>
      </c>
    </row>
    <row r="67" spans="1:17" s="35" customFormat="1" collapsed="1" x14ac:dyDescent="0.3">
      <c r="A67" s="34"/>
      <c r="B67" s="14" t="str">
        <f>CONCATENATE("     ","*Payroll                                          ")</f>
        <v xml:space="preserve">     *Payroll                                          </v>
      </c>
      <c r="C67" s="14"/>
      <c r="D67" s="1">
        <f>SUM(OSRRefD21_1x_0)</f>
        <v>166272.59000000003</v>
      </c>
      <c r="E67" s="1">
        <f>SUM(OSRRefD21_1x_1)</f>
        <v>190219.97999999998</v>
      </c>
      <c r="F67" s="1">
        <f>SUM(OSRRefD21_1x_2)</f>
        <v>163102.01</v>
      </c>
      <c r="G67" s="1">
        <f>SUM(OSRRefD21_1x_3)</f>
        <v>178317.63000000003</v>
      </c>
      <c r="H67" s="1">
        <f>SUM(OSRRefD21_1x_4)</f>
        <v>125576.45000000001</v>
      </c>
      <c r="I67" s="1">
        <f>SUM(OSRRefD21_1x_5)</f>
        <v>156278.80000000002</v>
      </c>
      <c r="J67" s="1">
        <f>SUM(OSRRefE21_1x_0)</f>
        <v>273411.17206810578</v>
      </c>
      <c r="K67" s="1">
        <f>SUM(OSRRefE21_1x_1)</f>
        <v>170189.18983948458</v>
      </c>
      <c r="L67" s="1">
        <f>SUM(OSRRefE21_1x_2)</f>
        <v>157795.57673948459</v>
      </c>
      <c r="M67" s="1">
        <f>SUM(OSRRefE21_1x_3)</f>
        <v>198406.15796810584</v>
      </c>
      <c r="N67" s="1">
        <f>SUM(OSRRefE21_1x_4)</f>
        <v>158512.10013948457</v>
      </c>
      <c r="O67" s="1">
        <f>SUM(OSRRefE21_1x_5)</f>
        <v>149740.24376448459</v>
      </c>
      <c r="Q67" s="2">
        <f>SUM(OSRRefD20_1x)+IFERROR(SUM(OSRRefE20_1x),0)</f>
        <v>2087821.9005191501</v>
      </c>
    </row>
    <row r="68" spans="1:17" s="35" customFormat="1" hidden="1" outlineLevel="1" x14ac:dyDescent="0.3">
      <c r="A68" s="34"/>
      <c r="B68" s="10" t="str">
        <f>CONCATENATE("          ","6001", " - ","ADMINISTRATIVE SALARIES")</f>
        <v xml:space="preserve">          6001 - ADMINISTRATIVE SALARIES</v>
      </c>
      <c r="C68" s="14"/>
      <c r="D68" s="2">
        <v>5599.1</v>
      </c>
      <c r="E68" s="2">
        <v>4479.1000000000004</v>
      </c>
      <c r="F68" s="2">
        <v>4479.1000000000004</v>
      </c>
      <c r="G68" s="2">
        <v>4926.78</v>
      </c>
      <c r="H68" s="2">
        <v>4192.43</v>
      </c>
      <c r="I68" s="2">
        <v>4658.26</v>
      </c>
      <c r="J68" s="2">
        <v>5174.7596153846198</v>
      </c>
      <c r="K68" s="2">
        <v>4139.8076923076896</v>
      </c>
      <c r="L68" s="2">
        <v>4139.8076923076896</v>
      </c>
      <c r="M68" s="2">
        <v>5174.7596153846198</v>
      </c>
      <c r="N68" s="2">
        <v>4139.8076923076896</v>
      </c>
      <c r="O68" s="2">
        <v>4139.8076923076896</v>
      </c>
      <c r="P68" s="9"/>
      <c r="Q68" s="2">
        <f>SUM(OSRRefD21_1_0x)+IFERROR(SUM(OSRRefE21_1_0x),0)</f>
        <v>55243.519999999997</v>
      </c>
    </row>
    <row r="69" spans="1:17" s="35" customFormat="1" hidden="1" outlineLevel="1" x14ac:dyDescent="0.3">
      <c r="A69" s="34"/>
      <c r="B69" s="10" t="str">
        <f>CONCATENATE("          ","6002", " - ","STAFF SALARIES")</f>
        <v xml:space="preserve">          6002 - STAFF SALARIES</v>
      </c>
      <c r="C69" s="14"/>
      <c r="D69" s="2">
        <v>68536.740000000005</v>
      </c>
      <c r="E69" s="2">
        <v>58749.01</v>
      </c>
      <c r="F69" s="2">
        <v>59317.32</v>
      </c>
      <c r="G69" s="2">
        <v>62962.98</v>
      </c>
      <c r="H69" s="2">
        <v>39449.300000000003</v>
      </c>
      <c r="I69" s="2">
        <v>52623.72</v>
      </c>
      <c r="J69" s="2">
        <v>55289.717317721203</v>
      </c>
      <c r="K69" s="2">
        <v>44231.773854176899</v>
      </c>
      <c r="L69" s="2">
        <v>44231.773854176899</v>
      </c>
      <c r="M69" s="2">
        <v>55289.717317721203</v>
      </c>
      <c r="N69" s="2">
        <v>44231.773854176899</v>
      </c>
      <c r="O69" s="2">
        <v>44231.773854176899</v>
      </c>
      <c r="P69" s="9"/>
      <c r="Q69" s="2">
        <f>SUM(OSRRefD21_1_1x)+IFERROR(SUM(OSRRefE21_1_1x),0)</f>
        <v>629145.60005215008</v>
      </c>
    </row>
    <row r="70" spans="1:17" s="35" customFormat="1" hidden="1" outlineLevel="1" x14ac:dyDescent="0.3">
      <c r="A70" s="34"/>
      <c r="B70" s="10" t="str">
        <f>CONCATENATE("          ","6003", " - ","STAFF HOURLY-9 MONTH")</f>
        <v xml:space="preserve">          6003 - STAFF HOURLY-9 MONTH</v>
      </c>
      <c r="C70" s="14"/>
      <c r="D70" s="2"/>
      <c r="E70" s="2"/>
      <c r="F70" s="2"/>
      <c r="G70" s="2"/>
      <c r="H70" s="2"/>
      <c r="I70" s="2"/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SUM(OSRRefD21_1_2x)+IFERROR(SUM(OSRRefE21_1_2x),0)</f>
        <v>0</v>
      </c>
    </row>
    <row r="71" spans="1:17" s="35" customFormat="1" hidden="1" outlineLevel="1" x14ac:dyDescent="0.3">
      <c r="A71" s="34"/>
      <c r="B71" s="10" t="str">
        <f>CONCATENATE("          ","6004", " - ","STAFF HOURLY")</f>
        <v xml:space="preserve">          6004 - STAFF HOURLY</v>
      </c>
      <c r="C71" s="14"/>
      <c r="D71" s="2">
        <v>18084.38</v>
      </c>
      <c r="E71" s="2">
        <v>19678.82</v>
      </c>
      <c r="F71" s="2">
        <v>21848.69</v>
      </c>
      <c r="G71" s="2">
        <v>30372.86</v>
      </c>
      <c r="H71" s="2">
        <v>21095.77</v>
      </c>
      <c r="I71" s="2">
        <v>24932.65</v>
      </c>
      <c r="J71" s="2">
        <v>47719.27521</v>
      </c>
      <c r="K71" s="2">
        <v>40856.588567999999</v>
      </c>
      <c r="L71" s="2">
        <v>39446.679318000002</v>
      </c>
      <c r="M71" s="2">
        <v>49570.966710000001</v>
      </c>
      <c r="N71" s="2">
        <v>38131.141067999997</v>
      </c>
      <c r="O71" s="2">
        <v>37741.525068000003</v>
      </c>
      <c r="P71" s="9"/>
      <c r="Q71" s="2">
        <f>SUM(OSRRefD21_1_3x)+IFERROR(SUM(OSRRefE21_1_3x),0)</f>
        <v>389479.34594200004</v>
      </c>
    </row>
    <row r="72" spans="1:17" s="35" customFormat="1" hidden="1" outlineLevel="1" x14ac:dyDescent="0.3">
      <c r="A72" s="34"/>
      <c r="B72" s="10" t="str">
        <f>CONCATENATE("          ","6005", " - ","TEMPORARY WAGES-HOURLY")</f>
        <v xml:space="preserve">          6005 - TEMPORARY WAGES-HOURLY</v>
      </c>
      <c r="C72" s="14"/>
      <c r="D72" s="2">
        <v>9447.7999999999993</v>
      </c>
      <c r="E72" s="2">
        <v>10971.89</v>
      </c>
      <c r="F72" s="2">
        <v>10825.92</v>
      </c>
      <c r="G72" s="2">
        <v>16091.96</v>
      </c>
      <c r="H72" s="2">
        <v>9559.1299999999992</v>
      </c>
      <c r="I72" s="2">
        <v>9155.69</v>
      </c>
      <c r="J72" s="2">
        <v>3009.34</v>
      </c>
      <c r="K72" s="2">
        <v>1802</v>
      </c>
      <c r="L72" s="2">
        <v>1802</v>
      </c>
      <c r="M72" s="2">
        <v>2396.66</v>
      </c>
      <c r="N72" s="2">
        <v>2252.5</v>
      </c>
      <c r="O72" s="2">
        <v>2396.66</v>
      </c>
      <c r="P72" s="9"/>
      <c r="Q72" s="2">
        <f>SUM(OSRRefD21_1_4x)+IFERROR(SUM(OSRRefE21_1_4x),0)</f>
        <v>79711.55</v>
      </c>
    </row>
    <row r="73" spans="1:17" s="35" customFormat="1" hidden="1" outlineLevel="1" x14ac:dyDescent="0.3">
      <c r="A73" s="34"/>
      <c r="B73" s="10" t="str">
        <f>CONCATENATE("          ","6006", " - ","TEMPORARY PART TIME")</f>
        <v xml:space="preserve">          6006 - TEMPORARY PART TIME</v>
      </c>
      <c r="C73" s="14"/>
      <c r="D73" s="2">
        <v>2864.4</v>
      </c>
      <c r="E73" s="2">
        <v>3273.79</v>
      </c>
      <c r="F73" s="2">
        <v>2957.46</v>
      </c>
      <c r="G73" s="2">
        <v>781.97</v>
      </c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SUM(OSRRefD21_1_5x)+IFERROR(SUM(OSRRefE21_1_5x),0)</f>
        <v>9877.6200000000008</v>
      </c>
    </row>
    <row r="74" spans="1:17" s="35" customFormat="1" hidden="1" outlineLevel="1" x14ac:dyDescent="0.3">
      <c r="A74" s="34"/>
      <c r="B74" s="10" t="str">
        <f>CONCATENATE("          ","6007", " - ","STUDENT HOURLY")</f>
        <v xml:space="preserve">          6007 - STUDENT HOURLY</v>
      </c>
      <c r="C74" s="14"/>
      <c r="D74" s="2">
        <v>51955.82</v>
      </c>
      <c r="E74" s="2">
        <v>78788.070000000007</v>
      </c>
      <c r="F74" s="2">
        <v>54007.28</v>
      </c>
      <c r="G74" s="2">
        <v>53267.23</v>
      </c>
      <c r="H74" s="2">
        <v>44217.89</v>
      </c>
      <c r="I74" s="2">
        <v>58321.81</v>
      </c>
      <c r="J74" s="2">
        <v>50998.61</v>
      </c>
      <c r="K74" s="2">
        <v>30933.624</v>
      </c>
      <c r="L74" s="2">
        <v>30466.416000000001</v>
      </c>
      <c r="M74" s="2">
        <v>37849.415999999997</v>
      </c>
      <c r="N74" s="2">
        <v>30466.416000000001</v>
      </c>
      <c r="O74" s="2">
        <v>27441.011350000001</v>
      </c>
      <c r="P74" s="9"/>
      <c r="Q74" s="2">
        <f>SUM(OSRRefD21_1_6x)+IFERROR(SUM(OSRRefE21_1_6x),0)</f>
        <v>548713.59334999998</v>
      </c>
    </row>
    <row r="75" spans="1:17" s="35" customFormat="1" hidden="1" outlineLevel="1" x14ac:dyDescent="0.3">
      <c r="A75" s="34"/>
      <c r="B75" s="10" t="str">
        <f>CONCATENATE("          ","6008", " - ","STUDENT HOURLY-FICA EXEMPT")</f>
        <v xml:space="preserve">          6008 - STUDENT HOURLY-FICA EXEMPT</v>
      </c>
      <c r="C75" s="14"/>
      <c r="D75" s="2">
        <v>9784.35</v>
      </c>
      <c r="E75" s="2">
        <v>14279.3</v>
      </c>
      <c r="F75" s="2">
        <v>9666.24</v>
      </c>
      <c r="G75" s="2">
        <v>9913.85</v>
      </c>
      <c r="H75" s="2">
        <v>7061.93</v>
      </c>
      <c r="I75" s="2">
        <v>6586.67</v>
      </c>
      <c r="J75" s="2">
        <v>111219.469925</v>
      </c>
      <c r="K75" s="2">
        <v>48225.395725000002</v>
      </c>
      <c r="L75" s="2">
        <v>37708.899875000003</v>
      </c>
      <c r="M75" s="2">
        <v>48124.638325</v>
      </c>
      <c r="N75" s="2">
        <v>39290.461524999999</v>
      </c>
      <c r="O75" s="2">
        <v>33789.465799999998</v>
      </c>
      <c r="P75" s="9"/>
      <c r="Q75" s="2">
        <f>SUM(OSRRefD21_1_7x)+IFERROR(SUM(OSRRefE21_1_7x),0)</f>
        <v>375650.67117500002</v>
      </c>
    </row>
    <row r="76" spans="1:17" s="35" customFormat="1" hidden="1" outlineLevel="1" x14ac:dyDescent="0.3">
      <c r="A76" s="34"/>
      <c r="B76" s="10" t="str">
        <f>CONCATENATE("          ","6009", " - ","TEMPORARY-SEASONAL")</f>
        <v xml:space="preserve">          6009 - TEMPORARY-SEASONAL</v>
      </c>
      <c r="C76" s="14"/>
      <c r="D76" s="2"/>
      <c r="E76" s="2"/>
      <c r="F76" s="2"/>
      <c r="G76" s="2"/>
      <c r="H76" s="2"/>
      <c r="I76" s="2"/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SUM(OSRRefD21_1_8x)+IFERROR(SUM(OSRRefE21_1_8x),0)</f>
        <v>0</v>
      </c>
    </row>
    <row r="77" spans="1:17" s="35" customFormat="1" hidden="1" outlineLevel="1" x14ac:dyDescent="0.3">
      <c r="A77" s="34"/>
      <c r="B77" s="10" t="str">
        <f>CONCATENATE("          ","6010", " - ","GRATUITY")</f>
        <v xml:space="preserve">          6010 - GRATUITY</v>
      </c>
      <c r="C77" s="14"/>
      <c r="D77" s="2"/>
      <c r="E77" s="2"/>
      <c r="F77" s="2"/>
      <c r="G77" s="2"/>
      <c r="H77" s="2"/>
      <c r="I77" s="2"/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SUM(OSRRefD21_1_9x)+IFERROR(SUM(OSRRefE21_1_9x),0)</f>
        <v>0</v>
      </c>
    </row>
    <row r="78" spans="1:17" s="35" customFormat="1" collapsed="1" x14ac:dyDescent="0.3">
      <c r="A78" s="34"/>
      <c r="B78" s="14" t="str">
        <f>CONCATENATE("     ","Advertising/Promo                                 ")</f>
        <v xml:space="preserve">     Advertising/Promo                                 </v>
      </c>
      <c r="C78" s="14"/>
      <c r="D78" s="1">
        <f>SUM(OSRRefD21_2x_0)</f>
        <v>493.63</v>
      </c>
      <c r="E78" s="1">
        <f>SUM(OSRRefD21_2x_1)</f>
        <v>1630.51</v>
      </c>
      <c r="F78" s="1">
        <f>SUM(OSRRefD21_2x_2)</f>
        <v>163.18</v>
      </c>
      <c r="G78" s="1">
        <f>SUM(OSRRefD21_2x_3)</f>
        <v>950.63</v>
      </c>
      <c r="H78" s="1">
        <f>SUM(OSRRefD21_2x_4)</f>
        <v>1685.96</v>
      </c>
      <c r="I78" s="1">
        <f>SUM(OSRRefD21_2x_5)</f>
        <v>722.3</v>
      </c>
      <c r="J78" s="1">
        <f>SUM(OSRRefE21_2x_0)</f>
        <v>600</v>
      </c>
      <c r="K78" s="1">
        <f>SUM(OSRRefE21_2x_1)</f>
        <v>300</v>
      </c>
      <c r="L78" s="1">
        <f>SUM(OSRRefE21_2x_2)</f>
        <v>300</v>
      </c>
      <c r="M78" s="1">
        <f>SUM(OSRRefE21_2x_3)</f>
        <v>300</v>
      </c>
      <c r="N78" s="1">
        <f>SUM(OSRRefE21_2x_4)</f>
        <v>400</v>
      </c>
      <c r="O78" s="1">
        <f>SUM(OSRRefE21_2x_5)</f>
        <v>300</v>
      </c>
      <c r="Q78" s="2">
        <f>SUM(OSRRefD20_2x)+IFERROR(SUM(OSRRefE20_2x),0)</f>
        <v>7846.21</v>
      </c>
    </row>
    <row r="79" spans="1:17" s="35" customFormat="1" hidden="1" outlineLevel="1" x14ac:dyDescent="0.3">
      <c r="A79" s="34"/>
      <c r="B79" s="10" t="str">
        <f>CONCATENATE("          ","6362", " - ","ADVERTISING EXPENSE")</f>
        <v xml:space="preserve">          6362 - ADVERTISING EXPENSE</v>
      </c>
      <c r="C79" s="14"/>
      <c r="D79" s="2">
        <v>493.63</v>
      </c>
      <c r="E79" s="2">
        <v>1630.51</v>
      </c>
      <c r="F79" s="2">
        <v>163.18</v>
      </c>
      <c r="G79" s="2">
        <v>950.63</v>
      </c>
      <c r="H79" s="2">
        <v>1685.96</v>
      </c>
      <c r="I79" s="2">
        <v>722.3</v>
      </c>
      <c r="J79" s="2">
        <v>600</v>
      </c>
      <c r="K79" s="2">
        <v>300</v>
      </c>
      <c r="L79" s="2">
        <v>300</v>
      </c>
      <c r="M79" s="2">
        <v>300</v>
      </c>
      <c r="N79" s="2">
        <v>400</v>
      </c>
      <c r="O79" s="2">
        <v>300</v>
      </c>
      <c r="P79" s="9"/>
      <c r="Q79" s="2">
        <f>SUM(OSRRefD21_2_0x)+IFERROR(SUM(OSRRefE21_2_0x),0)</f>
        <v>7846.21</v>
      </c>
    </row>
    <row r="80" spans="1:17" s="35" customFormat="1" collapsed="1" x14ac:dyDescent="0.3">
      <c r="A80" s="34"/>
      <c r="B80" s="14" t="str">
        <f>CONCATENATE("     ","Bad Debts/Over/Short                              ")</f>
        <v xml:space="preserve">     Bad Debts/Over/Short                              </v>
      </c>
      <c r="C80" s="14"/>
      <c r="D80" s="1">
        <f>SUM(OSRRefD21_3x_0)</f>
        <v>1.27</v>
      </c>
      <c r="E80" s="1">
        <f>SUM(OSRRefD21_3x_1)</f>
        <v>149.46</v>
      </c>
      <c r="F80" s="1">
        <f>SUM(OSRRefD21_3x_2)</f>
        <v>112.67</v>
      </c>
      <c r="G80" s="1">
        <f>SUM(OSRRefD21_3x_3)</f>
        <v>-37.729999999999997</v>
      </c>
      <c r="H80" s="1">
        <f>SUM(OSRRefD21_3x_4)</f>
        <v>-38.71</v>
      </c>
      <c r="I80" s="1">
        <f>SUM(OSRRefD21_3x_5)</f>
        <v>-5.0599999999999996</v>
      </c>
      <c r="J80" s="1">
        <f>SUM(OSRRefE21_3x_0)</f>
        <v>235</v>
      </c>
      <c r="K80" s="1">
        <f>SUM(OSRRefE21_3x_1)</f>
        <v>235</v>
      </c>
      <c r="L80" s="1">
        <f>SUM(OSRRefE21_3x_2)</f>
        <v>235</v>
      </c>
      <c r="M80" s="1">
        <f>SUM(OSRRefE21_3x_3)</f>
        <v>235</v>
      </c>
      <c r="N80" s="1">
        <f>SUM(OSRRefE21_3x_4)</f>
        <v>235</v>
      </c>
      <c r="O80" s="1">
        <f>SUM(OSRRefE21_3x_5)</f>
        <v>235</v>
      </c>
      <c r="Q80" s="2">
        <f>SUM(OSRRefD20_3x)+IFERROR(SUM(OSRRefE20_3x),0)</f>
        <v>1591.9</v>
      </c>
    </row>
    <row r="81" spans="1:17" s="35" customFormat="1" hidden="1" outlineLevel="1" x14ac:dyDescent="0.3">
      <c r="A81" s="34"/>
      <c r="B81" s="10" t="str">
        <f>CONCATENATE("          ","6272", " - ","CASH (OVER/SHORT)")</f>
        <v xml:space="preserve">          6272 - CASH (OVER/SHORT)</v>
      </c>
      <c r="C81" s="14"/>
      <c r="D81" s="2">
        <v>1.27</v>
      </c>
      <c r="E81" s="2">
        <v>149.46</v>
      </c>
      <c r="F81" s="2">
        <v>112.67</v>
      </c>
      <c r="G81" s="2">
        <v>-37.729999999999997</v>
      </c>
      <c r="H81" s="2">
        <v>-38.71</v>
      </c>
      <c r="I81" s="2">
        <v>-5.0599999999999996</v>
      </c>
      <c r="J81" s="2">
        <v>235</v>
      </c>
      <c r="K81" s="2">
        <v>235</v>
      </c>
      <c r="L81" s="2">
        <v>235</v>
      </c>
      <c r="M81" s="2">
        <v>235</v>
      </c>
      <c r="N81" s="2">
        <v>235</v>
      </c>
      <c r="O81" s="2">
        <v>235</v>
      </c>
      <c r="P81" s="9"/>
      <c r="Q81" s="2">
        <f>SUM(OSRRefD21_3_0x)+IFERROR(SUM(OSRRefE21_3_0x),0)</f>
        <v>1591.9</v>
      </c>
    </row>
    <row r="82" spans="1:17" s="35" customFormat="1" collapsed="1" x14ac:dyDescent="0.3">
      <c r="A82" s="34"/>
      <c r="B82" s="14" t="str">
        <f>CONCATENATE("     ","Bank/card Fees                                    ")</f>
        <v xml:space="preserve">     Bank/card Fees                                    </v>
      </c>
      <c r="C82" s="14"/>
      <c r="D82" s="1">
        <f>SUM(OSRRefD21_4x_0)</f>
        <v>4037.34</v>
      </c>
      <c r="E82" s="1">
        <f>SUM(OSRRefD21_4x_1)</f>
        <v>23422.38</v>
      </c>
      <c r="F82" s="1">
        <f>SUM(OSRRefD21_4x_2)</f>
        <v>11665.93</v>
      </c>
      <c r="G82" s="1">
        <f>SUM(OSRRefD21_4x_3)</f>
        <v>13855.03</v>
      </c>
      <c r="H82" s="1">
        <f>SUM(OSRRefD21_4x_4)</f>
        <v>8597.08</v>
      </c>
      <c r="I82" s="1">
        <f>SUM(OSRRefD21_4x_5)</f>
        <v>9758.82</v>
      </c>
      <c r="J82" s="1">
        <f>SUM(OSRRefE21_4x_0)</f>
        <v>36934.5</v>
      </c>
      <c r="K82" s="1">
        <f>SUM(OSRRefE21_4x_1)</f>
        <v>14012</v>
      </c>
      <c r="L82" s="1">
        <f>SUM(OSRRefE21_4x_2)</f>
        <v>12177.25</v>
      </c>
      <c r="M82" s="1">
        <f>SUM(OSRRefE21_4x_3)</f>
        <v>13931.25</v>
      </c>
      <c r="N82" s="1">
        <f>SUM(OSRRefE21_4x_4)</f>
        <v>16249</v>
      </c>
      <c r="O82" s="1">
        <f>SUM(OSRRefE21_4x_5)</f>
        <v>7825.5</v>
      </c>
      <c r="Q82" s="2">
        <f>SUM(OSRRefD20_4x)+IFERROR(SUM(OSRRefE20_4x),0)</f>
        <v>172466.08000000002</v>
      </c>
    </row>
    <row r="83" spans="1:17" s="35" customFormat="1" hidden="1" outlineLevel="1" x14ac:dyDescent="0.3">
      <c r="A83" s="34"/>
      <c r="B83" s="10" t="str">
        <f>CONCATENATE("          ","6381", " - ","BANK/CREDIT CARD FEES")</f>
        <v xml:space="preserve">          6381 - BANK/CREDIT CARD FEES</v>
      </c>
      <c r="C83" s="14"/>
      <c r="D83" s="2">
        <v>4037.34</v>
      </c>
      <c r="E83" s="2">
        <v>23422.38</v>
      </c>
      <c r="F83" s="2">
        <v>11665.93</v>
      </c>
      <c r="G83" s="2">
        <v>13855.03</v>
      </c>
      <c r="H83" s="2">
        <v>8597.08</v>
      </c>
      <c r="I83" s="2">
        <v>9758.82</v>
      </c>
      <c r="J83" s="2">
        <v>36934.5</v>
      </c>
      <c r="K83" s="2">
        <v>14012</v>
      </c>
      <c r="L83" s="2">
        <v>12177.25</v>
      </c>
      <c r="M83" s="2">
        <v>13931.25</v>
      </c>
      <c r="N83" s="2">
        <v>16249</v>
      </c>
      <c r="O83" s="2">
        <v>7825.5</v>
      </c>
      <c r="P83" s="9"/>
      <c r="Q83" s="2">
        <f>SUM(OSRRefD21_4_0x)+IFERROR(SUM(OSRRefE21_4_0x),0)</f>
        <v>172466.08000000002</v>
      </c>
    </row>
    <row r="84" spans="1:17" s="35" customFormat="1" collapsed="1" x14ac:dyDescent="0.3">
      <c r="A84" s="34"/>
      <c r="B84" s="14" t="str">
        <f>CONCATENATE("     ","Depreciation                                      ")</f>
        <v xml:space="preserve">     Depreciation                                      </v>
      </c>
      <c r="C84" s="14"/>
      <c r="D84" s="1">
        <f>SUM(OSRRefD21_5x_0)</f>
        <v>37856.22</v>
      </c>
      <c r="E84" s="1">
        <f>SUM(OSRRefD21_5x_1)</f>
        <v>37856.22</v>
      </c>
      <c r="F84" s="1">
        <f>SUM(OSRRefD21_5x_2)</f>
        <v>37856.21</v>
      </c>
      <c r="G84" s="1">
        <f>SUM(OSRRefD21_5x_3)</f>
        <v>36939.61</v>
      </c>
      <c r="H84" s="1">
        <f>SUM(OSRRefD21_5x_4)</f>
        <v>36939.599999999999</v>
      </c>
      <c r="I84" s="1">
        <f>SUM(OSRRefD21_5x_5)</f>
        <v>36939.589999999997</v>
      </c>
      <c r="J84" s="1">
        <f>SUM(OSRRefE21_5x_0)</f>
        <v>34553</v>
      </c>
      <c r="K84" s="1">
        <f>SUM(OSRRefE21_5x_1)</f>
        <v>33743</v>
      </c>
      <c r="L84" s="1">
        <f>SUM(OSRRefE21_5x_2)</f>
        <v>33743</v>
      </c>
      <c r="M84" s="1">
        <f>SUM(OSRRefE21_5x_3)</f>
        <v>22583</v>
      </c>
      <c r="N84" s="1">
        <f>SUM(OSRRefE21_5x_4)</f>
        <v>22583</v>
      </c>
      <c r="O84" s="1">
        <f>SUM(OSRRefE21_5x_5)</f>
        <v>22425</v>
      </c>
      <c r="Q84" s="2">
        <f>SUM(OSRRefD20_5x)+IFERROR(SUM(OSRRefE20_5x),0)</f>
        <v>394017.45</v>
      </c>
    </row>
    <row r="85" spans="1:17" s="35" customFormat="1" hidden="1" outlineLevel="1" x14ac:dyDescent="0.3">
      <c r="A85" s="34"/>
      <c r="B85" s="10" t="str">
        <f>CONCATENATE("          ","6321", " - ","BUILDING DEPRECIATION")</f>
        <v xml:space="preserve">          6321 - BUILDING DEPRECIATION</v>
      </c>
      <c r="C85" s="14"/>
      <c r="D85" s="2">
        <v>21477.03</v>
      </c>
      <c r="E85" s="2">
        <v>21477.03</v>
      </c>
      <c r="F85" s="2">
        <v>21477.03</v>
      </c>
      <c r="G85" s="2">
        <v>21477.03</v>
      </c>
      <c r="H85" s="2">
        <v>21477.03</v>
      </c>
      <c r="I85" s="2">
        <v>21477.02</v>
      </c>
      <c r="J85" s="2"/>
      <c r="K85" s="2"/>
      <c r="L85" s="2"/>
      <c r="M85" s="2"/>
      <c r="N85" s="2"/>
      <c r="O85" s="2"/>
      <c r="P85" s="9"/>
      <c r="Q85" s="2">
        <f>SUM(OSRRefD21_5_0x)+IFERROR(SUM(OSRRefE21_5_0x),0)</f>
        <v>128862.17</v>
      </c>
    </row>
    <row r="86" spans="1:17" s="35" customFormat="1" hidden="1" outlineLevel="1" x14ac:dyDescent="0.3">
      <c r="A86" s="34"/>
      <c r="B86" s="10" t="str">
        <f>CONCATENATE("          ","6322", " - ","EQUIPMENT DEPRECIATION EXPENSE")</f>
        <v xml:space="preserve">          6322 - EQUIPMENT DEPRECIATION EXPENSE</v>
      </c>
      <c r="C86" s="14"/>
      <c r="D86" s="2">
        <v>16379.19</v>
      </c>
      <c r="E86" s="2">
        <v>16379.19</v>
      </c>
      <c r="F86" s="2">
        <v>16379.18</v>
      </c>
      <c r="G86" s="2">
        <v>15462.58</v>
      </c>
      <c r="H86" s="2">
        <v>15462.57</v>
      </c>
      <c r="I86" s="2">
        <v>15462.57</v>
      </c>
      <c r="J86" s="2">
        <v>34553</v>
      </c>
      <c r="K86" s="2">
        <v>33743</v>
      </c>
      <c r="L86" s="2">
        <v>33743</v>
      </c>
      <c r="M86" s="2">
        <v>22583</v>
      </c>
      <c r="N86" s="2">
        <v>22583</v>
      </c>
      <c r="O86" s="2">
        <v>22425</v>
      </c>
      <c r="P86" s="9"/>
      <c r="Q86" s="2">
        <f>SUM(OSRRefD21_5_1x)+IFERROR(SUM(OSRRefE21_5_1x),0)</f>
        <v>265155.28000000003</v>
      </c>
    </row>
    <row r="87" spans="1:17" s="35" customFormat="1" collapsed="1" x14ac:dyDescent="0.3">
      <c r="A87" s="34"/>
      <c r="B87" s="14" t="str">
        <f>CONCATENATE("     ","Discounts and Markdowns                           ")</f>
        <v xml:space="preserve">     Discounts and Markdowns                           </v>
      </c>
      <c r="C87" s="14"/>
      <c r="D87" s="1">
        <f>SUM(OSRRefD21_6x_0)</f>
        <v>-0.68</v>
      </c>
      <c r="E87" s="1">
        <f>SUM(OSRRefD21_6x_1)</f>
        <v>-157.30000000000001</v>
      </c>
      <c r="F87" s="1">
        <f>SUM(OSRRefD21_6x_2)</f>
        <v>135.49</v>
      </c>
      <c r="G87" s="1">
        <f>SUM(OSRRefD21_6x_3)</f>
        <v>-43.75</v>
      </c>
      <c r="H87" s="1">
        <f>SUM(OSRRefD21_6x_4)</f>
        <v>3409.87</v>
      </c>
      <c r="I87" s="1">
        <f>SUM(OSRRefD21_6x_5)</f>
        <v>11.17</v>
      </c>
      <c r="J87" s="1">
        <f>SUM(OSRRefE21_6x_0)</f>
        <v>0</v>
      </c>
      <c r="K87" s="1">
        <f>SUM(OSRRefE21_6x_1)</f>
        <v>0</v>
      </c>
      <c r="L87" s="1">
        <f>SUM(OSRRefE21_6x_2)</f>
        <v>0</v>
      </c>
      <c r="M87" s="1">
        <f>SUM(OSRRefE21_6x_3)</f>
        <v>0</v>
      </c>
      <c r="N87" s="1">
        <f>SUM(OSRRefE21_6x_4)</f>
        <v>0</v>
      </c>
      <c r="O87" s="1">
        <f>SUM(OSRRefE21_6x_5)</f>
        <v>0</v>
      </c>
      <c r="Q87" s="2">
        <f>SUM(OSRRefD20_6x)+IFERROR(SUM(OSRRefE20_6x),0)</f>
        <v>3354.8</v>
      </c>
    </row>
    <row r="88" spans="1:17" s="35" customFormat="1" hidden="1" outlineLevel="1" x14ac:dyDescent="0.3">
      <c r="A88" s="34"/>
      <c r="B88" s="10" t="str">
        <f>CONCATENATE("          ","6382", " - ","DISCOUNTS/MARK DOWNS")</f>
        <v xml:space="preserve">          6382 - DISCOUNTS/MARK DOWNS</v>
      </c>
      <c r="C88" s="14"/>
      <c r="D88" s="2"/>
      <c r="E88" s="2"/>
      <c r="F88" s="2"/>
      <c r="G88" s="2"/>
      <c r="H88" s="2">
        <v>3410</v>
      </c>
      <c r="I88" s="2"/>
      <c r="J88" s="2"/>
      <c r="K88" s="2"/>
      <c r="L88" s="2"/>
      <c r="M88" s="2"/>
      <c r="N88" s="2"/>
      <c r="O88" s="2"/>
      <c r="P88" s="9"/>
      <c r="Q88" s="2">
        <f>SUM(OSRRefD21_6_0x)+IFERROR(SUM(OSRRefE21_6_0x),0)</f>
        <v>3410</v>
      </c>
    </row>
    <row r="89" spans="1:17" s="35" customFormat="1" hidden="1" outlineLevel="1" x14ac:dyDescent="0.3">
      <c r="A89" s="34"/>
      <c r="B89" s="10" t="str">
        <f>CONCATENATE("          ","9175", " - ","EARNED DISCOUNTS")</f>
        <v xml:space="preserve">          9175 - EARNED DISCOUNTS</v>
      </c>
      <c r="C89" s="14"/>
      <c r="D89" s="2">
        <v>-0.68</v>
      </c>
      <c r="E89" s="2">
        <v>-157.30000000000001</v>
      </c>
      <c r="F89" s="2">
        <v>135.49</v>
      </c>
      <c r="G89" s="2">
        <v>-43.75</v>
      </c>
      <c r="H89" s="2">
        <v>-0.13</v>
      </c>
      <c r="I89" s="2">
        <v>11.17</v>
      </c>
      <c r="J89" s="2"/>
      <c r="K89" s="2"/>
      <c r="L89" s="2"/>
      <c r="M89" s="2"/>
      <c r="N89" s="2"/>
      <c r="O89" s="2"/>
      <c r="P89" s="9"/>
      <c r="Q89" s="2">
        <f>SUM(OSRRefD21_6_1x)+IFERROR(SUM(OSRRefE21_6_1x),0)</f>
        <v>-55.2</v>
      </c>
    </row>
    <row r="90" spans="1:17" s="35" customFormat="1" collapsed="1" x14ac:dyDescent="0.3">
      <c r="A90" s="34"/>
      <c r="B90" s="14" t="str">
        <f>CONCATENATE("     ","Donations                                         ")</f>
        <v xml:space="preserve">     Donations                                         </v>
      </c>
      <c r="C90" s="14"/>
      <c r="D90" s="1">
        <f>SUM(OSRRefD21_7x_0)</f>
        <v>0</v>
      </c>
      <c r="E90" s="1">
        <f>SUM(OSRRefD21_7x_1)</f>
        <v>0</v>
      </c>
      <c r="F90" s="1">
        <f>SUM(OSRRefD21_7x_2)</f>
        <v>0</v>
      </c>
      <c r="G90" s="1">
        <f>SUM(OSRRefD21_7x_3)</f>
        <v>1483.48</v>
      </c>
      <c r="H90" s="1">
        <f>SUM(OSRRefD21_7x_4)</f>
        <v>1336.74</v>
      </c>
      <c r="I90" s="1">
        <f>SUM(OSRRefD21_7x_5)</f>
        <v>0</v>
      </c>
      <c r="J90" s="1">
        <f>SUM(OSRRefE21_7x_0)</f>
        <v>1250</v>
      </c>
      <c r="K90" s="1">
        <f>SUM(OSRRefE21_7x_1)</f>
        <v>1250</v>
      </c>
      <c r="L90" s="1">
        <f>SUM(OSRRefE21_7x_2)</f>
        <v>1250</v>
      </c>
      <c r="M90" s="1">
        <f>SUM(OSRRefE21_7x_3)</f>
        <v>1250</v>
      </c>
      <c r="N90" s="1">
        <f>SUM(OSRRefE21_7x_4)</f>
        <v>1250</v>
      </c>
      <c r="O90" s="1">
        <f>SUM(OSRRefE21_7x_5)</f>
        <v>1250</v>
      </c>
      <c r="Q90" s="2">
        <f>SUM(OSRRefD20_7x)+IFERROR(SUM(OSRRefE20_7x),0)</f>
        <v>10320.220000000001</v>
      </c>
    </row>
    <row r="91" spans="1:17" s="35" customFormat="1" hidden="1" outlineLevel="1" x14ac:dyDescent="0.3">
      <c r="A91" s="34"/>
      <c r="B91" s="10" t="str">
        <f>CONCATENATE("          ","6399", " - ","DONATION-ON CAMPUS")</f>
        <v xml:space="preserve">          6399 - DONATION-ON CAMPUS</v>
      </c>
      <c r="C91" s="14"/>
      <c r="D91" s="2"/>
      <c r="E91" s="2"/>
      <c r="F91" s="2"/>
      <c r="G91" s="2">
        <v>1483.48</v>
      </c>
      <c r="H91" s="2">
        <v>1336.74</v>
      </c>
      <c r="I91" s="2"/>
      <c r="J91" s="2">
        <v>1250</v>
      </c>
      <c r="K91" s="2">
        <v>1250</v>
      </c>
      <c r="L91" s="2">
        <v>1250</v>
      </c>
      <c r="M91" s="2">
        <v>1250</v>
      </c>
      <c r="N91" s="2">
        <v>1250</v>
      </c>
      <c r="O91" s="2">
        <v>1250</v>
      </c>
      <c r="P91" s="9"/>
      <c r="Q91" s="2">
        <f>SUM(OSRRefD21_7_0x)+IFERROR(SUM(OSRRefE21_7_0x),0)</f>
        <v>10320.220000000001</v>
      </c>
    </row>
    <row r="92" spans="1:17" s="35" customFormat="1" collapsed="1" x14ac:dyDescent="0.3">
      <c r="A92" s="34"/>
      <c r="B92" s="14" t="str">
        <f>CONCATENATE("     ","Employees' Appreciation                           ")</f>
        <v xml:space="preserve">     Employees' Appreciation                           </v>
      </c>
      <c r="C92" s="14"/>
      <c r="D92" s="1">
        <f>SUM(OSRRefD21_8x_0)</f>
        <v>537.36</v>
      </c>
      <c r="E92" s="1">
        <f>SUM(OSRRefD21_8x_1)</f>
        <v>400</v>
      </c>
      <c r="F92" s="1">
        <f>SUM(OSRRefD21_8x_2)</f>
        <v>447.27</v>
      </c>
      <c r="G92" s="1">
        <f>SUM(OSRRefD21_8x_3)</f>
        <v>0</v>
      </c>
      <c r="H92" s="1">
        <f>SUM(OSRRefD21_8x_4)</f>
        <v>490.02</v>
      </c>
      <c r="I92" s="1">
        <f>SUM(OSRRefD21_8x_5)</f>
        <v>949.16</v>
      </c>
      <c r="J92" s="1">
        <f>SUM(OSRRefE21_8x_0)</f>
        <v>225</v>
      </c>
      <c r="K92" s="1">
        <f>SUM(OSRRefE21_8x_1)</f>
        <v>225</v>
      </c>
      <c r="L92" s="1">
        <f>SUM(OSRRefE21_8x_2)</f>
        <v>225</v>
      </c>
      <c r="M92" s="1">
        <f>SUM(OSRRefE21_8x_3)</f>
        <v>225</v>
      </c>
      <c r="N92" s="1">
        <f>SUM(OSRRefE21_8x_4)</f>
        <v>275</v>
      </c>
      <c r="O92" s="1">
        <f>SUM(OSRRefE21_8x_5)</f>
        <v>225</v>
      </c>
      <c r="Q92" s="2">
        <f>SUM(OSRRefD20_8x)+IFERROR(SUM(OSRRefE20_8x),0)</f>
        <v>4223.8099999999995</v>
      </c>
    </row>
    <row r="93" spans="1:17" s="35" customFormat="1" hidden="1" outlineLevel="1" x14ac:dyDescent="0.3">
      <c r="A93" s="34"/>
      <c r="B93" s="10" t="str">
        <f>CONCATENATE("          ","6277", " - ","EMPLOYEE APPRECIATION")</f>
        <v xml:space="preserve">          6277 - EMPLOYEE APPRECIATION</v>
      </c>
      <c r="C93" s="14"/>
      <c r="D93" s="2">
        <v>537.36</v>
      </c>
      <c r="E93" s="2">
        <v>400</v>
      </c>
      <c r="F93" s="2">
        <v>447.27</v>
      </c>
      <c r="G93" s="2"/>
      <c r="H93" s="2">
        <v>490.02</v>
      </c>
      <c r="I93" s="2">
        <v>949.16</v>
      </c>
      <c r="J93" s="2">
        <v>225</v>
      </c>
      <c r="K93" s="2">
        <v>225</v>
      </c>
      <c r="L93" s="2">
        <v>225</v>
      </c>
      <c r="M93" s="2">
        <v>225</v>
      </c>
      <c r="N93" s="2">
        <v>275</v>
      </c>
      <c r="O93" s="2">
        <v>225</v>
      </c>
      <c r="P93" s="9"/>
      <c r="Q93" s="2">
        <f>SUM(OSRRefD21_8_0x)+IFERROR(SUM(OSRRefE21_8_0x),0)</f>
        <v>4223.8099999999995</v>
      </c>
    </row>
    <row r="94" spans="1:17" s="35" customFormat="1" collapsed="1" x14ac:dyDescent="0.3">
      <c r="A94" s="34"/>
      <c r="B94" s="14" t="str">
        <f>CONCATENATE("     ","Equipment Rental                                  ")</f>
        <v xml:space="preserve">     Equipment Rental                                  </v>
      </c>
      <c r="C94" s="14"/>
      <c r="D94" s="1">
        <f>SUM(OSRRefD21_9x_0)</f>
        <v>1388.16</v>
      </c>
      <c r="E94" s="1">
        <f>SUM(OSRRefD21_9x_1)</f>
        <v>2303.73</v>
      </c>
      <c r="F94" s="1">
        <f>SUM(OSRRefD21_9x_2)</f>
        <v>1388.16</v>
      </c>
      <c r="G94" s="1">
        <f>SUM(OSRRefD21_9x_3)</f>
        <v>1531.35</v>
      </c>
      <c r="H94" s="1">
        <f>SUM(OSRRefD21_9x_4)</f>
        <v>1712.05</v>
      </c>
      <c r="I94" s="1">
        <f>SUM(OSRRefD21_9x_5)</f>
        <v>1537.07</v>
      </c>
      <c r="J94" s="1">
        <f>SUM(OSRRefE21_9x_0)</f>
        <v>1876</v>
      </c>
      <c r="K94" s="1">
        <f>SUM(OSRRefE21_9x_1)</f>
        <v>1876</v>
      </c>
      <c r="L94" s="1">
        <f>SUM(OSRRefE21_9x_2)</f>
        <v>1876</v>
      </c>
      <c r="M94" s="1">
        <f>SUM(OSRRefE21_9x_3)</f>
        <v>1876</v>
      </c>
      <c r="N94" s="1">
        <f>SUM(OSRRefE21_9x_4)</f>
        <v>1876</v>
      </c>
      <c r="O94" s="1">
        <f>SUM(OSRRefE21_9x_5)</f>
        <v>1876</v>
      </c>
      <c r="Q94" s="2">
        <f>SUM(OSRRefD20_9x)+IFERROR(SUM(OSRRefE20_9x),0)</f>
        <v>21116.519999999997</v>
      </c>
    </row>
    <row r="95" spans="1:17" s="35" customFormat="1" hidden="1" outlineLevel="1" x14ac:dyDescent="0.3">
      <c r="A95" s="34"/>
      <c r="B95" s="10" t="str">
        <f>CONCATENATE("          ","6351", " - ","EQUIPMENT RENTAL")</f>
        <v xml:space="preserve">          6351 - EQUIPMENT RENTAL</v>
      </c>
      <c r="C95" s="14"/>
      <c r="D95" s="2">
        <v>1388.16</v>
      </c>
      <c r="E95" s="2">
        <v>2303.73</v>
      </c>
      <c r="F95" s="2">
        <v>1388.16</v>
      </c>
      <c r="G95" s="2">
        <v>1531.35</v>
      </c>
      <c r="H95" s="2">
        <v>1712.05</v>
      </c>
      <c r="I95" s="2">
        <v>1537.07</v>
      </c>
      <c r="J95" s="2">
        <v>1876</v>
      </c>
      <c r="K95" s="2">
        <v>1876</v>
      </c>
      <c r="L95" s="2">
        <v>1876</v>
      </c>
      <c r="M95" s="2">
        <v>1876</v>
      </c>
      <c r="N95" s="2">
        <v>1876</v>
      </c>
      <c r="O95" s="2">
        <v>1876</v>
      </c>
      <c r="P95" s="9"/>
      <c r="Q95" s="2">
        <f>SUM(OSRRefD21_9_0x)+IFERROR(SUM(OSRRefE21_9_0x),0)</f>
        <v>21116.519999999997</v>
      </c>
    </row>
    <row r="96" spans="1:17" s="35" customFormat="1" collapsed="1" x14ac:dyDescent="0.3">
      <c r="A96" s="34"/>
      <c r="B96" s="14" t="str">
        <f>CONCATENATE("     ","Freight out/Postage                               ")</f>
        <v xml:space="preserve">     Freight out/Postage                               </v>
      </c>
      <c r="C96" s="14"/>
      <c r="D96" s="1">
        <f>SUM(OSRRefD21_10x_0)</f>
        <v>3589.6099999999997</v>
      </c>
      <c r="E96" s="1">
        <f>SUM(OSRRefD21_10x_1)</f>
        <v>-19372.54</v>
      </c>
      <c r="F96" s="1">
        <f>SUM(OSRRefD21_10x_2)</f>
        <v>3653.1299999999992</v>
      </c>
      <c r="G96" s="1">
        <f>SUM(OSRRefD21_10x_3)</f>
        <v>-23519.489999999998</v>
      </c>
      <c r="H96" s="1">
        <f>SUM(OSRRefD21_10x_4)</f>
        <v>5663.0599999999995</v>
      </c>
      <c r="I96" s="1">
        <f>SUM(OSRRefD21_10x_5)</f>
        <v>-2180.9800000000014</v>
      </c>
      <c r="J96" s="1">
        <f>SUM(OSRRefE21_10x_0)</f>
        <v>-25550</v>
      </c>
      <c r="K96" s="1">
        <f>SUM(OSRRefE21_10x_1)</f>
        <v>1950</v>
      </c>
      <c r="L96" s="1">
        <f>SUM(OSRRefE21_10x_2)</f>
        <v>3350</v>
      </c>
      <c r="M96" s="1">
        <f>SUM(OSRRefE21_10x_3)</f>
        <v>-550</v>
      </c>
      <c r="N96" s="1">
        <f>SUM(OSRRefE21_10x_4)</f>
        <v>-1850</v>
      </c>
      <c r="O96" s="1">
        <f>SUM(OSRRefE21_10x_5)</f>
        <v>-2350</v>
      </c>
      <c r="Q96" s="2">
        <f>SUM(OSRRefD20_10x)+IFERROR(SUM(OSRRefE20_10x),0)</f>
        <v>-57167.210000000006</v>
      </c>
    </row>
    <row r="97" spans="1:17" s="35" customFormat="1" hidden="1" outlineLevel="1" x14ac:dyDescent="0.3">
      <c r="A97" s="34"/>
      <c r="B97" s="10" t="str">
        <f>CONCATENATE("          ","6305", " - ","FREIGHT OUT")</f>
        <v xml:space="preserve">          6305 - FREIGHT OUT</v>
      </c>
      <c r="C97" s="14"/>
      <c r="D97" s="2">
        <v>10889.5</v>
      </c>
      <c r="E97" s="2">
        <v>4399.6499999999996</v>
      </c>
      <c r="F97" s="2">
        <v>13290.66</v>
      </c>
      <c r="G97" s="2">
        <v>26185.08</v>
      </c>
      <c r="H97" s="2">
        <v>11063.73</v>
      </c>
      <c r="I97" s="2">
        <v>12270.64</v>
      </c>
      <c r="J97" s="2">
        <v>15850</v>
      </c>
      <c r="K97" s="2">
        <v>23850</v>
      </c>
      <c r="L97" s="2">
        <v>9250</v>
      </c>
      <c r="M97" s="2">
        <v>3850</v>
      </c>
      <c r="N97" s="2">
        <v>2550</v>
      </c>
      <c r="O97" s="2">
        <v>2050</v>
      </c>
      <c r="P97" s="9"/>
      <c r="Q97" s="2">
        <f>SUM(OSRRefD21_10_0x)+IFERROR(SUM(OSRRefE21_10_0x),0)</f>
        <v>135499.26</v>
      </c>
    </row>
    <row r="98" spans="1:17" s="35" customFormat="1" hidden="1" outlineLevel="1" x14ac:dyDescent="0.3">
      <c r="A98" s="34"/>
      <c r="B98" s="10" t="str">
        <f>CONCATENATE("          ","6307", " - ","POSTAGE")</f>
        <v xml:space="preserve">          6307 - POSTAGE</v>
      </c>
      <c r="C98" s="14"/>
      <c r="D98" s="2">
        <v>-7299.89</v>
      </c>
      <c r="E98" s="2">
        <v>-23772.19</v>
      </c>
      <c r="F98" s="2">
        <v>-9637.5300000000007</v>
      </c>
      <c r="G98" s="2">
        <v>-49704.57</v>
      </c>
      <c r="H98" s="2">
        <v>-5400.67</v>
      </c>
      <c r="I98" s="2">
        <v>-14451.62</v>
      </c>
      <c r="J98" s="2">
        <v>-41400</v>
      </c>
      <c r="K98" s="2">
        <v>-21900</v>
      </c>
      <c r="L98" s="2">
        <v>-5900</v>
      </c>
      <c r="M98" s="2">
        <v>-4400</v>
      </c>
      <c r="N98" s="2">
        <v>-4400</v>
      </c>
      <c r="O98" s="2">
        <v>-4400</v>
      </c>
      <c r="P98" s="9"/>
      <c r="Q98" s="2">
        <f>SUM(OSRRefD21_10_1x)+IFERROR(SUM(OSRRefE21_10_1x),0)</f>
        <v>-192666.46999999997</v>
      </c>
    </row>
    <row r="99" spans="1:17" s="35" customFormat="1" collapsed="1" x14ac:dyDescent="0.3">
      <c r="A99" s="34"/>
      <c r="B99" s="14" t="str">
        <f>CONCATENATE("     ","General                                           ")</f>
        <v xml:space="preserve">     General                                           </v>
      </c>
      <c r="C99" s="14"/>
      <c r="D99" s="1">
        <f>SUM(OSRRefD21_11x_0)</f>
        <v>778</v>
      </c>
      <c r="E99" s="1">
        <f>SUM(OSRRefD21_11x_1)</f>
        <v>2609.29</v>
      </c>
      <c r="F99" s="1">
        <f>SUM(OSRRefD21_11x_2)</f>
        <v>91.31</v>
      </c>
      <c r="G99" s="1">
        <f>SUM(OSRRefD21_11x_3)</f>
        <v>327.5</v>
      </c>
      <c r="H99" s="1">
        <f>SUM(OSRRefD21_11x_4)</f>
        <v>1682.28</v>
      </c>
      <c r="I99" s="1">
        <f>SUM(OSRRefD21_11x_5)</f>
        <v>1434.19</v>
      </c>
      <c r="J99" s="1">
        <f>SUM(OSRRefE21_11x_0)</f>
        <v>200</v>
      </c>
      <c r="K99" s="1">
        <f>SUM(OSRRefE21_11x_1)</f>
        <v>325</v>
      </c>
      <c r="L99" s="1">
        <f>SUM(OSRRefE21_11x_2)</f>
        <v>200</v>
      </c>
      <c r="M99" s="1">
        <f>SUM(OSRRefE21_11x_3)</f>
        <v>700</v>
      </c>
      <c r="N99" s="1">
        <f>SUM(OSRRefE21_11x_4)</f>
        <v>950</v>
      </c>
      <c r="O99" s="1">
        <f>SUM(OSRRefE21_11x_5)</f>
        <v>1200</v>
      </c>
      <c r="Q99" s="2">
        <f>SUM(OSRRefD20_11x)+IFERROR(SUM(OSRRefE20_11x),0)</f>
        <v>10497.57</v>
      </c>
    </row>
    <row r="100" spans="1:17" s="35" customFormat="1" hidden="1" outlineLevel="1" x14ac:dyDescent="0.3">
      <c r="A100" s="34"/>
      <c r="B100" s="10" t="str">
        <f>CONCATENATE("          ","6279", " - ","GENERAL EXPENSE")</f>
        <v xml:space="preserve">          6279 - GENERAL EXPENSE</v>
      </c>
      <c r="C100" s="14"/>
      <c r="D100" s="2">
        <v>778</v>
      </c>
      <c r="E100" s="2">
        <v>2609.29</v>
      </c>
      <c r="F100" s="2">
        <v>91.31</v>
      </c>
      <c r="G100" s="2">
        <v>327.5</v>
      </c>
      <c r="H100" s="2">
        <v>1682.28</v>
      </c>
      <c r="I100" s="2">
        <v>1434.19</v>
      </c>
      <c r="J100" s="2">
        <v>200</v>
      </c>
      <c r="K100" s="2">
        <v>325</v>
      </c>
      <c r="L100" s="2">
        <v>200</v>
      </c>
      <c r="M100" s="2">
        <v>700</v>
      </c>
      <c r="N100" s="2">
        <v>950</v>
      </c>
      <c r="O100" s="2">
        <v>1200</v>
      </c>
      <c r="P100" s="9"/>
      <c r="Q100" s="2">
        <f>SUM(OSRRefD21_11_0x)+IFERROR(SUM(OSRRefE21_11_0x),0)</f>
        <v>10497.57</v>
      </c>
    </row>
    <row r="101" spans="1:17" s="35" customFormat="1" collapsed="1" x14ac:dyDescent="0.3">
      <c r="A101" s="34"/>
      <c r="B101" s="14" t="str">
        <f>CONCATENATE("     ","Insurance                                         ")</f>
        <v xml:space="preserve">     Insurance                                         </v>
      </c>
      <c r="C101" s="14"/>
      <c r="D101" s="1">
        <f>SUM(OSRRefD21_12x_0)</f>
        <v>5825.58</v>
      </c>
      <c r="E101" s="1">
        <f>SUM(OSRRefD21_12x_1)</f>
        <v>5825.58</v>
      </c>
      <c r="F101" s="1">
        <f>SUM(OSRRefD21_12x_2)</f>
        <v>5825.58</v>
      </c>
      <c r="G101" s="1">
        <f>SUM(OSRRefD21_12x_3)</f>
        <v>5825.58</v>
      </c>
      <c r="H101" s="1">
        <f>SUM(OSRRefD21_12x_4)</f>
        <v>5825.58</v>
      </c>
      <c r="I101" s="1">
        <f>SUM(OSRRefD21_12x_5)</f>
        <v>5825.58</v>
      </c>
      <c r="J101" s="1">
        <f>SUM(OSRRefE21_12x_0)</f>
        <v>5705</v>
      </c>
      <c r="K101" s="1">
        <f>SUM(OSRRefE21_12x_1)</f>
        <v>5705</v>
      </c>
      <c r="L101" s="1">
        <f>SUM(OSRRefE21_12x_2)</f>
        <v>5705</v>
      </c>
      <c r="M101" s="1">
        <f>SUM(OSRRefE21_12x_3)</f>
        <v>5705</v>
      </c>
      <c r="N101" s="1">
        <f>SUM(OSRRefE21_12x_4)</f>
        <v>5705</v>
      </c>
      <c r="O101" s="1">
        <f>SUM(OSRRefE21_12x_5)</f>
        <v>5705</v>
      </c>
      <c r="Q101" s="2">
        <f>SUM(OSRRefD20_12x)+IFERROR(SUM(OSRRefE20_12x),0)</f>
        <v>69183.48000000001</v>
      </c>
    </row>
    <row r="102" spans="1:17" s="35" customFormat="1" hidden="1" outlineLevel="1" x14ac:dyDescent="0.3">
      <c r="A102" s="34"/>
      <c r="B102" s="10" t="str">
        <f>CONCATENATE("          ","6314", " - ","LIABILITY INSURANCE")</f>
        <v xml:space="preserve">          6314 - LIABILITY INSURANCE</v>
      </c>
      <c r="C102" s="14"/>
      <c r="D102" s="2">
        <v>5825.58</v>
      </c>
      <c r="E102" s="2">
        <v>5825.58</v>
      </c>
      <c r="F102" s="2">
        <v>5825.58</v>
      </c>
      <c r="G102" s="2">
        <v>5825.58</v>
      </c>
      <c r="H102" s="2">
        <v>5825.58</v>
      </c>
      <c r="I102" s="2">
        <v>5825.58</v>
      </c>
      <c r="J102" s="2">
        <v>5705</v>
      </c>
      <c r="K102" s="2">
        <v>5705</v>
      </c>
      <c r="L102" s="2">
        <v>5705</v>
      </c>
      <c r="M102" s="2">
        <v>5705</v>
      </c>
      <c r="N102" s="2">
        <v>5705</v>
      </c>
      <c r="O102" s="2">
        <v>5705</v>
      </c>
      <c r="P102" s="9"/>
      <c r="Q102" s="2">
        <f>SUM(OSRRefD21_12_0x)+IFERROR(SUM(OSRRefE21_12_0x),0)</f>
        <v>69183.48000000001</v>
      </c>
    </row>
    <row r="103" spans="1:17" s="35" customFormat="1" collapsed="1" x14ac:dyDescent="0.3">
      <c r="A103" s="34"/>
      <c r="B103" s="14" t="str">
        <f>CONCATENATE("     ","Interest                                          ")</f>
        <v xml:space="preserve">     Interest                                          </v>
      </c>
      <c r="C103" s="14"/>
      <c r="D103" s="1">
        <f>SUM(OSRRefD21_13x_0)</f>
        <v>3905</v>
      </c>
      <c r="E103" s="1">
        <f>SUM(OSRRefD21_13x_1)</f>
        <v>3905</v>
      </c>
      <c r="F103" s="1">
        <f>SUM(OSRRefD21_13x_2)</f>
        <v>3905</v>
      </c>
      <c r="G103" s="1">
        <f>SUM(OSRRefD21_13x_3)</f>
        <v>3629</v>
      </c>
      <c r="H103" s="1">
        <f>SUM(OSRRefD21_13x_4)</f>
        <v>3905</v>
      </c>
      <c r="I103" s="1">
        <f>SUM(OSRRefD21_13x_5)</f>
        <v>3905</v>
      </c>
      <c r="J103" s="1">
        <f>SUM(OSRRefE21_13x_0)</f>
        <v>3905</v>
      </c>
      <c r="K103" s="1">
        <f>SUM(OSRRefE21_13x_1)</f>
        <v>3905</v>
      </c>
      <c r="L103" s="1">
        <f>SUM(OSRRefE21_13x_2)</f>
        <v>3905</v>
      </c>
      <c r="M103" s="1">
        <f>SUM(OSRRefE21_13x_3)</f>
        <v>3905</v>
      </c>
      <c r="N103" s="1">
        <f>SUM(OSRRefE21_13x_4)</f>
        <v>3760</v>
      </c>
      <c r="O103" s="1">
        <f>SUM(OSRRefE21_13x_5)</f>
        <v>3760</v>
      </c>
      <c r="Q103" s="2">
        <f>SUM(OSRRefD20_13x)+IFERROR(SUM(OSRRefE20_13x),0)</f>
        <v>46294</v>
      </c>
    </row>
    <row r="104" spans="1:17" s="35" customFormat="1" hidden="1" outlineLevel="1" x14ac:dyDescent="0.3">
      <c r="A104" s="34"/>
      <c r="B104" s="10" t="str">
        <f>CONCATENATE("          ","6401", " - ","INTEREST EXPENSE")</f>
        <v xml:space="preserve">          6401 - INTEREST EXPENSE</v>
      </c>
      <c r="C104" s="14"/>
      <c r="D104" s="2">
        <v>3905</v>
      </c>
      <c r="E104" s="2">
        <v>3905</v>
      </c>
      <c r="F104" s="2">
        <v>3905</v>
      </c>
      <c r="G104" s="2">
        <v>3629</v>
      </c>
      <c r="H104" s="2">
        <v>3905</v>
      </c>
      <c r="I104" s="2">
        <v>3905</v>
      </c>
      <c r="J104" s="2">
        <v>3905</v>
      </c>
      <c r="K104" s="2">
        <v>3905</v>
      </c>
      <c r="L104" s="2">
        <v>3905</v>
      </c>
      <c r="M104" s="2">
        <v>3905</v>
      </c>
      <c r="N104" s="2">
        <v>3760</v>
      </c>
      <c r="O104" s="2">
        <v>3760</v>
      </c>
      <c r="P104" s="9"/>
      <c r="Q104" s="2">
        <f>SUM(OSRRefD21_13_0x)+IFERROR(SUM(OSRRefE21_13_0x),0)</f>
        <v>46294</v>
      </c>
    </row>
    <row r="105" spans="1:17" s="35" customFormat="1" collapsed="1" x14ac:dyDescent="0.3">
      <c r="A105" s="34"/>
      <c r="B105" s="14" t="str">
        <f>CONCATENATE("     ","Inventory Adjustment                              ")</f>
        <v xml:space="preserve">     Inventory Adjustment                              </v>
      </c>
      <c r="C105" s="14"/>
      <c r="D105" s="1">
        <f>SUM(OSRRefD21_14x_0)</f>
        <v>5100</v>
      </c>
      <c r="E105" s="1">
        <f>SUM(OSRRefD21_14x_1)</f>
        <v>5100</v>
      </c>
      <c r="F105" s="1">
        <f>SUM(OSRRefD21_14x_2)</f>
        <v>5100</v>
      </c>
      <c r="G105" s="1">
        <f>SUM(OSRRefD21_14x_3)</f>
        <v>5100</v>
      </c>
      <c r="H105" s="1">
        <f>SUM(OSRRefD21_14x_4)</f>
        <v>5100</v>
      </c>
      <c r="I105" s="1">
        <f>SUM(OSRRefD21_14x_5)</f>
        <v>9100</v>
      </c>
      <c r="J105" s="1">
        <f>SUM(OSRRefE21_14x_0)</f>
        <v>5100</v>
      </c>
      <c r="K105" s="1">
        <f>SUM(OSRRefE21_14x_1)</f>
        <v>5100</v>
      </c>
      <c r="L105" s="1">
        <f>SUM(OSRRefE21_14x_2)</f>
        <v>5100</v>
      </c>
      <c r="M105" s="1">
        <f>SUM(OSRRefE21_14x_3)</f>
        <v>5100</v>
      </c>
      <c r="N105" s="1">
        <f>SUM(OSRRefE21_14x_4)</f>
        <v>5100</v>
      </c>
      <c r="O105" s="1">
        <f>SUM(OSRRefE21_14x_5)</f>
        <v>19100</v>
      </c>
      <c r="Q105" s="2">
        <f>SUM(OSRRefD20_14x)+IFERROR(SUM(OSRRefE20_14x),0)</f>
        <v>79200</v>
      </c>
    </row>
    <row r="106" spans="1:17" s="35" customFormat="1" hidden="1" outlineLevel="1" x14ac:dyDescent="0.3">
      <c r="A106" s="34"/>
      <c r="B106" s="10" t="str">
        <f>CONCATENATE("          ","6408", " - ","INVENTORY ADJUSTMENT")</f>
        <v xml:space="preserve">          6408 - INVENTORY ADJUSTMENT</v>
      </c>
      <c r="C106" s="14"/>
      <c r="D106" s="2">
        <v>5100</v>
      </c>
      <c r="E106" s="2">
        <v>5100</v>
      </c>
      <c r="F106" s="2">
        <v>5100</v>
      </c>
      <c r="G106" s="2">
        <v>5100</v>
      </c>
      <c r="H106" s="2">
        <v>5100</v>
      </c>
      <c r="I106" s="2">
        <v>9100</v>
      </c>
      <c r="J106" s="2">
        <v>5100</v>
      </c>
      <c r="K106" s="2">
        <v>5100</v>
      </c>
      <c r="L106" s="2">
        <v>5100</v>
      </c>
      <c r="M106" s="2">
        <v>5100</v>
      </c>
      <c r="N106" s="2">
        <v>5100</v>
      </c>
      <c r="O106" s="2">
        <v>19100</v>
      </c>
      <c r="P106" s="9"/>
      <c r="Q106" s="2">
        <f>SUM(OSRRefD21_14_0x)+IFERROR(SUM(OSRRefE21_14_0x),0)</f>
        <v>79200</v>
      </c>
    </row>
    <row r="107" spans="1:17" s="35" customFormat="1" collapsed="1" x14ac:dyDescent="0.3">
      <c r="A107" s="34"/>
      <c r="B107" s="14" t="str">
        <f>CONCATENATE("     ","Professional Services                             ")</f>
        <v xml:space="preserve">     Professional Services                             </v>
      </c>
      <c r="C107" s="14"/>
      <c r="D107" s="1">
        <f>SUM(OSRRefD21_15x_0)</f>
        <v>0</v>
      </c>
      <c r="E107" s="1">
        <f>SUM(OSRRefD21_15x_1)</f>
        <v>0</v>
      </c>
      <c r="F107" s="1">
        <f>SUM(OSRRefD21_15x_2)</f>
        <v>0</v>
      </c>
      <c r="G107" s="1">
        <f>SUM(OSRRefD21_15x_3)</f>
        <v>8186.53</v>
      </c>
      <c r="H107" s="1">
        <f>SUM(OSRRefD21_15x_4)</f>
        <v>0</v>
      </c>
      <c r="I107" s="1">
        <f>SUM(OSRRefD21_15x_5)</f>
        <v>0</v>
      </c>
      <c r="J107" s="1">
        <f>SUM(OSRRefE21_15x_0)</f>
        <v>250</v>
      </c>
      <c r="K107" s="1">
        <f>SUM(OSRRefE21_15x_1)</f>
        <v>0</v>
      </c>
      <c r="L107" s="1">
        <f>SUM(OSRRefE21_15x_2)</f>
        <v>0</v>
      </c>
      <c r="M107" s="1">
        <f>SUM(OSRRefE21_15x_3)</f>
        <v>250</v>
      </c>
      <c r="N107" s="1">
        <f>SUM(OSRRefE21_15x_4)</f>
        <v>0</v>
      </c>
      <c r="O107" s="1">
        <f>SUM(OSRRefE21_15x_5)</f>
        <v>0</v>
      </c>
      <c r="Q107" s="2">
        <f>SUM(OSRRefD20_15x)+IFERROR(SUM(OSRRefE20_15x),0)</f>
        <v>8686.5299999999988</v>
      </c>
    </row>
    <row r="108" spans="1:17" s="35" customFormat="1" hidden="1" outlineLevel="1" x14ac:dyDescent="0.3">
      <c r="A108" s="34"/>
      <c r="B108" s="10" t="str">
        <f>CONCATENATE("          ","6336", " - ","PROFESSIONAL SERVICES")</f>
        <v xml:space="preserve">          6336 - PROFESSIONAL SERVICES</v>
      </c>
      <c r="C108" s="14"/>
      <c r="D108" s="2"/>
      <c r="E108" s="2"/>
      <c r="F108" s="2"/>
      <c r="G108" s="2">
        <v>8186.53</v>
      </c>
      <c r="H108" s="2"/>
      <c r="I108" s="2"/>
      <c r="J108" s="2">
        <v>250</v>
      </c>
      <c r="K108" s="2">
        <v>0</v>
      </c>
      <c r="L108" s="2">
        <v>0</v>
      </c>
      <c r="M108" s="2">
        <v>250</v>
      </c>
      <c r="N108" s="2">
        <v>0</v>
      </c>
      <c r="O108" s="2">
        <v>0</v>
      </c>
      <c r="P108" s="9"/>
      <c r="Q108" s="2">
        <f>SUM(OSRRefD21_15_0x)+IFERROR(SUM(OSRRefE21_15_0x),0)</f>
        <v>8686.5299999999988</v>
      </c>
    </row>
    <row r="109" spans="1:17" s="35" customFormat="1" collapsed="1" x14ac:dyDescent="0.3">
      <c r="A109" s="34"/>
      <c r="B109" s="14" t="str">
        <f>CONCATENATE("     ","Rent                                              ")</f>
        <v xml:space="preserve">     Rent                                              </v>
      </c>
      <c r="C109" s="14"/>
      <c r="D109" s="1">
        <f>SUM(OSRRefD21_16x_0)</f>
        <v>6100</v>
      </c>
      <c r="E109" s="1">
        <f>SUM(OSRRefD21_16x_1)</f>
        <v>6100</v>
      </c>
      <c r="F109" s="1">
        <f>SUM(OSRRefD21_16x_2)</f>
        <v>6100</v>
      </c>
      <c r="G109" s="1">
        <f>SUM(OSRRefD21_16x_3)</f>
        <v>6100</v>
      </c>
      <c r="H109" s="1">
        <f>SUM(OSRRefD21_16x_4)</f>
        <v>6100</v>
      </c>
      <c r="I109" s="1">
        <f>SUM(OSRRefD21_16x_5)</f>
        <v>6100</v>
      </c>
      <c r="J109" s="1">
        <f>SUM(OSRRefE21_16x_0)</f>
        <v>6100</v>
      </c>
      <c r="K109" s="1">
        <f>SUM(OSRRefE21_16x_1)</f>
        <v>6100</v>
      </c>
      <c r="L109" s="1">
        <f>SUM(OSRRefE21_16x_2)</f>
        <v>6100</v>
      </c>
      <c r="M109" s="1">
        <f>SUM(OSRRefE21_16x_3)</f>
        <v>6100</v>
      </c>
      <c r="N109" s="1">
        <f>SUM(OSRRefE21_16x_4)</f>
        <v>6100</v>
      </c>
      <c r="O109" s="1">
        <f>SUM(OSRRefE21_16x_5)</f>
        <v>6100</v>
      </c>
      <c r="Q109" s="2">
        <f>SUM(OSRRefD20_16x)+IFERROR(SUM(OSRRefE20_16x),0)</f>
        <v>73200</v>
      </c>
    </row>
    <row r="110" spans="1:17" s="35" customFormat="1" hidden="1" outlineLevel="1" x14ac:dyDescent="0.3">
      <c r="A110" s="34"/>
      <c r="B110" s="10" t="str">
        <f>CONCATENATE("          ","6273", " - ","RENT")</f>
        <v xml:space="preserve">          6273 - RENT</v>
      </c>
      <c r="C110" s="14"/>
      <c r="D110" s="2">
        <v>6100</v>
      </c>
      <c r="E110" s="2">
        <v>6100</v>
      </c>
      <c r="F110" s="2">
        <v>6100</v>
      </c>
      <c r="G110" s="2">
        <v>6100</v>
      </c>
      <c r="H110" s="2">
        <v>6100</v>
      </c>
      <c r="I110" s="2">
        <v>6100</v>
      </c>
      <c r="J110" s="2">
        <v>6100</v>
      </c>
      <c r="K110" s="2">
        <v>6100</v>
      </c>
      <c r="L110" s="2">
        <v>6100</v>
      </c>
      <c r="M110" s="2">
        <v>6100</v>
      </c>
      <c r="N110" s="2">
        <v>6100</v>
      </c>
      <c r="O110" s="2">
        <v>6100</v>
      </c>
      <c r="P110" s="9"/>
      <c r="Q110" s="2">
        <f>SUM(OSRRefD21_16_0x)+IFERROR(SUM(OSRRefE21_16_0x),0)</f>
        <v>73200</v>
      </c>
    </row>
    <row r="111" spans="1:17" s="35" customFormat="1" collapsed="1" x14ac:dyDescent="0.3">
      <c r="A111" s="34"/>
      <c r="B111" s="14" t="str">
        <f>CONCATENATE("     ","Repair and Maintenance                            ")</f>
        <v xml:space="preserve">     Repair and Maintenance                            </v>
      </c>
      <c r="C111" s="14"/>
      <c r="D111" s="1">
        <f>SUM(OSRRefD21_17x_0)</f>
        <v>64762.729999999996</v>
      </c>
      <c r="E111" s="1">
        <f>SUM(OSRRefD21_17x_1)</f>
        <v>9987.32</v>
      </c>
      <c r="F111" s="1">
        <f>SUM(OSRRefD21_17x_2)</f>
        <v>4464.9399999999996</v>
      </c>
      <c r="G111" s="1">
        <f>SUM(OSRRefD21_17x_3)</f>
        <v>12607.279999999999</v>
      </c>
      <c r="H111" s="1">
        <f>SUM(OSRRefD21_17x_4)</f>
        <v>1338.03</v>
      </c>
      <c r="I111" s="1">
        <f>SUM(OSRRefD21_17x_5)</f>
        <v>7625.57</v>
      </c>
      <c r="J111" s="1">
        <f>SUM(OSRRefE21_17x_0)</f>
        <v>11610</v>
      </c>
      <c r="K111" s="1">
        <f>SUM(OSRRefE21_17x_1)</f>
        <v>31160</v>
      </c>
      <c r="L111" s="1">
        <f>SUM(OSRRefE21_17x_2)</f>
        <v>11098</v>
      </c>
      <c r="M111" s="1">
        <f>SUM(OSRRefE21_17x_3)</f>
        <v>11110</v>
      </c>
      <c r="N111" s="1">
        <f>SUM(OSRRefE21_17x_4)</f>
        <v>10860</v>
      </c>
      <c r="O111" s="1">
        <f>SUM(OSRRefE21_17x_5)</f>
        <v>10960</v>
      </c>
      <c r="Q111" s="2">
        <f>SUM(OSRRefD20_17x)+IFERROR(SUM(OSRRefE20_17x),0)</f>
        <v>187583.87</v>
      </c>
    </row>
    <row r="112" spans="1:17" s="35" customFormat="1" hidden="1" outlineLevel="1" x14ac:dyDescent="0.3">
      <c r="A112" s="34"/>
      <c r="B112" s="10" t="str">
        <f>CONCATENATE("          ","6371", " - ","COMPUTER SOFTWARE MAINTENANCE")</f>
        <v xml:space="preserve">          6371 - COMPUTER SOFTWARE MAINTENANCE</v>
      </c>
      <c r="C112" s="14"/>
      <c r="D112" s="2">
        <v>59623.5</v>
      </c>
      <c r="E112" s="2">
        <v>0</v>
      </c>
      <c r="F112" s="2"/>
      <c r="G112" s="2">
        <v>2887.5</v>
      </c>
      <c r="H112" s="2"/>
      <c r="I112" s="2"/>
      <c r="J112" s="2">
        <v>1000</v>
      </c>
      <c r="K112" s="2">
        <v>1000</v>
      </c>
      <c r="L112" s="2">
        <v>1000</v>
      </c>
      <c r="M112" s="2">
        <v>1000</v>
      </c>
      <c r="N112" s="2">
        <v>1000</v>
      </c>
      <c r="O112" s="2">
        <v>1000</v>
      </c>
      <c r="P112" s="9"/>
      <c r="Q112" s="2">
        <f>SUM(OSRRefD21_17_0x)+IFERROR(SUM(OSRRefE21_17_0x),0)</f>
        <v>68511</v>
      </c>
    </row>
    <row r="113" spans="1:17" s="35" customFormat="1" hidden="1" outlineLevel="1" x14ac:dyDescent="0.3">
      <c r="A113" s="34"/>
      <c r="B113" s="10" t="str">
        <f>CONCATENATE("          ","6372", " - ","COMPUTER HARDWARE MAINTENANCE")</f>
        <v xml:space="preserve">          6372 - COMPUTER HARDWARE MAINTENANCE</v>
      </c>
      <c r="C113" s="14"/>
      <c r="D113" s="2"/>
      <c r="E113" s="2"/>
      <c r="F113" s="2"/>
      <c r="G113" s="2"/>
      <c r="H113" s="2"/>
      <c r="I113" s="2"/>
      <c r="J113" s="2">
        <v>3750</v>
      </c>
      <c r="K113" s="2">
        <v>3750</v>
      </c>
      <c r="L113" s="2">
        <v>3750</v>
      </c>
      <c r="M113" s="2">
        <v>3750</v>
      </c>
      <c r="N113" s="2">
        <v>3750</v>
      </c>
      <c r="O113" s="2">
        <v>3750</v>
      </c>
      <c r="P113" s="9"/>
      <c r="Q113" s="2">
        <f>SUM(OSRRefD21_17_1x)+IFERROR(SUM(OSRRefE21_17_1x),0)</f>
        <v>22500</v>
      </c>
    </row>
    <row r="114" spans="1:17" s="35" customFormat="1" hidden="1" outlineLevel="1" x14ac:dyDescent="0.3">
      <c r="A114" s="34"/>
      <c r="B114" s="10" t="str">
        <f>CONCATENATE("          ","6373", " - ","MAINTENANCE CONTRACTS")</f>
        <v xml:space="preserve">          6373 - MAINTENANCE CONTRACTS</v>
      </c>
      <c r="C114" s="14"/>
      <c r="D114" s="2">
        <v>654.63</v>
      </c>
      <c r="E114" s="2">
        <v>6010.42</v>
      </c>
      <c r="F114" s="2">
        <v>1642.34</v>
      </c>
      <c r="G114" s="2">
        <v>3962.92</v>
      </c>
      <c r="H114" s="2">
        <v>179.27</v>
      </c>
      <c r="I114" s="2">
        <v>2850.59</v>
      </c>
      <c r="J114" s="2">
        <v>6105</v>
      </c>
      <c r="K114" s="2">
        <v>26155</v>
      </c>
      <c r="L114" s="2">
        <v>6093</v>
      </c>
      <c r="M114" s="2">
        <v>6105</v>
      </c>
      <c r="N114" s="2">
        <v>5855</v>
      </c>
      <c r="O114" s="2">
        <v>5955</v>
      </c>
      <c r="P114" s="9"/>
      <c r="Q114" s="2">
        <f>SUM(OSRRefD21_17_2x)+IFERROR(SUM(OSRRefE21_17_2x),0)</f>
        <v>71568.17</v>
      </c>
    </row>
    <row r="115" spans="1:17" s="35" customFormat="1" hidden="1" outlineLevel="1" x14ac:dyDescent="0.3">
      <c r="A115" s="34"/>
      <c r="B115" s="10" t="str">
        <f>CONCATENATE("          ","6375", " - ","OUTSIDE REPAIRS &amp; MAINTENANCE")</f>
        <v xml:space="preserve">          6375 - OUTSIDE REPAIRS &amp; MAINTENANCE</v>
      </c>
      <c r="C115" s="14"/>
      <c r="D115" s="2">
        <v>4484.6000000000004</v>
      </c>
      <c r="E115" s="2">
        <v>3976.9</v>
      </c>
      <c r="F115" s="2">
        <v>2822.6</v>
      </c>
      <c r="G115" s="2">
        <v>5756.86</v>
      </c>
      <c r="H115" s="2">
        <v>1158.76</v>
      </c>
      <c r="I115" s="2">
        <v>4774.9799999999996</v>
      </c>
      <c r="J115" s="2">
        <v>755</v>
      </c>
      <c r="K115" s="2">
        <v>255</v>
      </c>
      <c r="L115" s="2">
        <v>255</v>
      </c>
      <c r="M115" s="2">
        <v>255</v>
      </c>
      <c r="N115" s="2">
        <v>255</v>
      </c>
      <c r="O115" s="2">
        <v>255</v>
      </c>
      <c r="P115" s="9"/>
      <c r="Q115" s="2">
        <f>SUM(OSRRefD21_17_3x)+IFERROR(SUM(OSRRefE21_17_3x),0)</f>
        <v>25004.699999999997</v>
      </c>
    </row>
    <row r="116" spans="1:17" s="35" customFormat="1" collapsed="1" x14ac:dyDescent="0.3">
      <c r="A116" s="34"/>
      <c r="B116" s="14" t="str">
        <f>CONCATENATE("     ","Royalty &amp; Commissions                             ")</f>
        <v xml:space="preserve">     Royalty &amp; Commissions                             </v>
      </c>
      <c r="C116" s="14"/>
      <c r="D116" s="1">
        <f>SUM(OSRRefD21_18x_0)</f>
        <v>7355.1000000000013</v>
      </c>
      <c r="E116" s="1">
        <f>SUM(OSRRefD21_18x_1)</f>
        <v>601.89</v>
      </c>
      <c r="F116" s="1">
        <f>SUM(OSRRefD21_18x_2)</f>
        <v>1174.22</v>
      </c>
      <c r="G116" s="1">
        <f>SUM(OSRRefD21_18x_3)</f>
        <v>10709.72</v>
      </c>
      <c r="H116" s="1">
        <f>SUM(OSRRefD21_18x_4)</f>
        <v>784.77</v>
      </c>
      <c r="I116" s="1">
        <f>SUM(OSRRefD21_18x_5)</f>
        <v>1121.23</v>
      </c>
      <c r="J116" s="1">
        <f>SUM(OSRRefE21_18x_0)</f>
        <v>20055</v>
      </c>
      <c r="K116" s="1">
        <f>SUM(OSRRefE21_18x_1)</f>
        <v>8090</v>
      </c>
      <c r="L116" s="1">
        <f>SUM(OSRRefE21_18x_2)</f>
        <v>5181</v>
      </c>
      <c r="M116" s="1">
        <f>SUM(OSRRefE21_18x_3)</f>
        <v>19437</v>
      </c>
      <c r="N116" s="1">
        <f>SUM(OSRRefE21_18x_4)</f>
        <v>10895</v>
      </c>
      <c r="O116" s="1">
        <f>SUM(OSRRefE21_18x_5)</f>
        <v>10158</v>
      </c>
      <c r="Q116" s="2">
        <f>SUM(OSRRefD20_18x)+IFERROR(SUM(OSRRefE20_18x),0)</f>
        <v>95562.93</v>
      </c>
    </row>
    <row r="117" spans="1:17" s="35" customFormat="1" hidden="1" outlineLevel="1" x14ac:dyDescent="0.3">
      <c r="A117" s="34"/>
      <c r="B117" s="10" t="str">
        <f>CONCATENATE("          ","6252", " - ","ROYALTY DUE CSTV")</f>
        <v xml:space="preserve">          6252 - ROYALTY DUE CSTV</v>
      </c>
      <c r="C117" s="14"/>
      <c r="D117" s="2"/>
      <c r="E117" s="2"/>
      <c r="F117" s="2"/>
      <c r="G117" s="2"/>
      <c r="H117" s="2"/>
      <c r="I117" s="2"/>
      <c r="J117" s="2">
        <v>821</v>
      </c>
      <c r="K117" s="2">
        <v>446</v>
      </c>
      <c r="L117" s="2">
        <v>1085</v>
      </c>
      <c r="M117" s="2">
        <v>948</v>
      </c>
      <c r="N117" s="2">
        <v>2156</v>
      </c>
      <c r="O117" s="2">
        <v>3322</v>
      </c>
      <c r="P117" s="9"/>
      <c r="Q117" s="2">
        <f>SUM(OSRRefD21_18_0x)+IFERROR(SUM(OSRRefE21_18_0x),0)</f>
        <v>8778</v>
      </c>
    </row>
    <row r="118" spans="1:17" s="35" customFormat="1" hidden="1" outlineLevel="1" x14ac:dyDescent="0.3">
      <c r="A118" s="34"/>
      <c r="B118" s="10" t="str">
        <f>CONCATENATE("          ","6253", " - ","ROYALTY DUE ATHLETICS-LRG")</f>
        <v xml:space="preserve">          6253 - ROYALTY DUE ATHLETICS-LRG</v>
      </c>
      <c r="C118" s="14"/>
      <c r="D118" s="2">
        <v>14376.54</v>
      </c>
      <c r="E118" s="2"/>
      <c r="F118" s="2"/>
      <c r="G118" s="2">
        <v>8783.75</v>
      </c>
      <c r="H118" s="2"/>
      <c r="I118" s="2"/>
      <c r="J118" s="2">
        <v>7785</v>
      </c>
      <c r="K118" s="2">
        <v>0</v>
      </c>
      <c r="L118" s="2">
        <v>0</v>
      </c>
      <c r="M118" s="2">
        <v>14555</v>
      </c>
      <c r="N118" s="2">
        <v>0</v>
      </c>
      <c r="O118" s="2">
        <v>0</v>
      </c>
      <c r="P118" s="9"/>
      <c r="Q118" s="2">
        <f>SUM(OSRRefD21_18_1x)+IFERROR(SUM(OSRRefE21_18_1x),0)</f>
        <v>45500.29</v>
      </c>
    </row>
    <row r="119" spans="1:17" s="35" customFormat="1" hidden="1" outlineLevel="1" x14ac:dyDescent="0.3">
      <c r="A119" s="34"/>
      <c r="B119" s="10" t="str">
        <f>CONCATENATE("          ","6254", " - ","ROYALTY &amp; COMMISSIONS")</f>
        <v xml:space="preserve">          6254 - ROYALTY &amp; COMMISSIONS</v>
      </c>
      <c r="C119" s="14"/>
      <c r="D119" s="2">
        <v>-7027.5</v>
      </c>
      <c r="E119" s="2"/>
      <c r="F119" s="2"/>
      <c r="G119" s="2"/>
      <c r="H119" s="2"/>
      <c r="I119" s="2">
        <v>0</v>
      </c>
      <c r="J119" s="2">
        <v>500</v>
      </c>
      <c r="K119" s="2">
        <v>1000</v>
      </c>
      <c r="L119" s="2">
        <v>1000</v>
      </c>
      <c r="M119" s="2">
        <v>1000</v>
      </c>
      <c r="N119" s="2">
        <v>1000</v>
      </c>
      <c r="O119" s="2">
        <v>0</v>
      </c>
      <c r="P119" s="9"/>
      <c r="Q119" s="2">
        <f>SUM(OSRRefD21_18_2x)+IFERROR(SUM(OSRRefE21_18_2x),0)</f>
        <v>-2527.5</v>
      </c>
    </row>
    <row r="120" spans="1:17" s="35" customFormat="1" hidden="1" outlineLevel="1" x14ac:dyDescent="0.3">
      <c r="A120" s="34"/>
      <c r="B120" s="10" t="str">
        <f>CONCATENATE("          ","6259", " - ","ROYALTY &amp; COMMISSIONS")</f>
        <v xml:space="preserve">          6259 - ROYALTY &amp; COMMISSIONS</v>
      </c>
      <c r="C120" s="14"/>
      <c r="D120" s="2">
        <v>6.06</v>
      </c>
      <c r="E120" s="2">
        <v>601.89</v>
      </c>
      <c r="F120" s="2">
        <v>1174.22</v>
      </c>
      <c r="G120" s="2">
        <v>1925.97</v>
      </c>
      <c r="H120" s="2">
        <v>784.77</v>
      </c>
      <c r="I120" s="2">
        <v>1121.23</v>
      </c>
      <c r="J120" s="2">
        <v>10949</v>
      </c>
      <c r="K120" s="2">
        <v>6644</v>
      </c>
      <c r="L120" s="2">
        <v>3096</v>
      </c>
      <c r="M120" s="2">
        <v>2934</v>
      </c>
      <c r="N120" s="2">
        <v>7739</v>
      </c>
      <c r="O120" s="2">
        <v>6836</v>
      </c>
      <c r="P120" s="9"/>
      <c r="Q120" s="2">
        <f>SUM(OSRRefD21_18_3x)+IFERROR(SUM(OSRRefE21_18_3x),0)</f>
        <v>43812.14</v>
      </c>
    </row>
    <row r="121" spans="1:17" s="35" customFormat="1" collapsed="1" x14ac:dyDescent="0.3">
      <c r="A121" s="34"/>
      <c r="B121" s="14" t="str">
        <f>CONCATENATE("     ","Services                                          ")</f>
        <v xml:space="preserve">     Services                                          </v>
      </c>
      <c r="C121" s="14"/>
      <c r="D121" s="1">
        <f>SUM(OSRRefD21_19x_0)</f>
        <v>4158.17</v>
      </c>
      <c r="E121" s="1">
        <f>SUM(OSRRefD21_19x_1)</f>
        <v>20734.62</v>
      </c>
      <c r="F121" s="1">
        <f>SUM(OSRRefD21_19x_2)</f>
        <v>4679.8399999999992</v>
      </c>
      <c r="G121" s="1">
        <f>SUM(OSRRefD21_19x_3)</f>
        <v>5834.37</v>
      </c>
      <c r="H121" s="1">
        <f>SUM(OSRRefD21_19x_4)</f>
        <v>4925.1099999999997</v>
      </c>
      <c r="I121" s="1">
        <f>SUM(OSRRefD21_19x_5)</f>
        <v>5257.82</v>
      </c>
      <c r="J121" s="1">
        <f>SUM(OSRRefE21_19x_0)</f>
        <v>4652</v>
      </c>
      <c r="K121" s="1">
        <f>SUM(OSRRefE21_19x_1)</f>
        <v>4652</v>
      </c>
      <c r="L121" s="1">
        <f>SUM(OSRRefE21_19x_2)</f>
        <v>4712</v>
      </c>
      <c r="M121" s="1">
        <f>SUM(OSRRefE21_19x_3)</f>
        <v>4652</v>
      </c>
      <c r="N121" s="1">
        <f>SUM(OSRRefE21_19x_4)</f>
        <v>4652</v>
      </c>
      <c r="O121" s="1">
        <f>SUM(OSRRefE21_19x_5)</f>
        <v>4712</v>
      </c>
      <c r="Q121" s="2">
        <f>SUM(OSRRefD20_19x)+IFERROR(SUM(OSRRefE20_19x),0)</f>
        <v>73621.929999999993</v>
      </c>
    </row>
    <row r="122" spans="1:17" s="35" customFormat="1" hidden="1" outlineLevel="1" x14ac:dyDescent="0.3">
      <c r="A122" s="34"/>
      <c r="B122" s="10" t="str">
        <f>CONCATENATE("          ","6282", " - ","JANITORIAL/EXTERMINATOR EXPENS")</f>
        <v xml:space="preserve">          6282 - JANITORIAL/EXTERMINATOR EXPENS</v>
      </c>
      <c r="C122" s="14"/>
      <c r="D122" s="2">
        <v>151.85</v>
      </c>
      <c r="E122" s="2">
        <v>611.25</v>
      </c>
      <c r="F122" s="2">
        <v>1004.82</v>
      </c>
      <c r="G122" s="2">
        <v>1241.76</v>
      </c>
      <c r="H122" s="2">
        <v>449.25</v>
      </c>
      <c r="I122" s="2">
        <v>587.25</v>
      </c>
      <c r="J122" s="2">
        <v>4558</v>
      </c>
      <c r="K122" s="2">
        <v>4558</v>
      </c>
      <c r="L122" s="2">
        <v>4558</v>
      </c>
      <c r="M122" s="2">
        <v>4558</v>
      </c>
      <c r="N122" s="2">
        <v>4558</v>
      </c>
      <c r="O122" s="2">
        <v>4558</v>
      </c>
      <c r="P122" s="9"/>
      <c r="Q122" s="2">
        <f>SUM(OSRRefD21_19_0x)+IFERROR(SUM(OSRRefE21_19_0x),0)</f>
        <v>31394.18</v>
      </c>
    </row>
    <row r="123" spans="1:17" s="35" customFormat="1" hidden="1" outlineLevel="1" x14ac:dyDescent="0.3">
      <c r="A123" s="34"/>
      <c r="B123" s="10" t="str">
        <f>CONCATENATE("          ","6284", " - ","TRASH REMOVAL EXPENSE")</f>
        <v xml:space="preserve">          6284 - TRASH REMOVAL EXPENSE</v>
      </c>
      <c r="C123" s="14"/>
      <c r="D123" s="2">
        <v>142.57</v>
      </c>
      <c r="E123" s="2">
        <v>149.69999999999999</v>
      </c>
      <c r="F123" s="2">
        <v>149.69999999999999</v>
      </c>
      <c r="G123" s="2">
        <v>149.69999999999999</v>
      </c>
      <c r="H123" s="2">
        <v>149.69999999999999</v>
      </c>
      <c r="I123" s="2">
        <v>149.69999999999999</v>
      </c>
      <c r="J123" s="2">
        <v>60</v>
      </c>
      <c r="K123" s="2">
        <v>60</v>
      </c>
      <c r="L123" s="2">
        <v>120</v>
      </c>
      <c r="M123" s="2">
        <v>60</v>
      </c>
      <c r="N123" s="2">
        <v>60</v>
      </c>
      <c r="O123" s="2">
        <v>120</v>
      </c>
      <c r="P123" s="9"/>
      <c r="Q123" s="2">
        <f>SUM(OSRRefD21_19_1x)+IFERROR(SUM(OSRRefE21_19_1x),0)</f>
        <v>1371.07</v>
      </c>
    </row>
    <row r="124" spans="1:17" s="35" customFormat="1" hidden="1" outlineLevel="1" x14ac:dyDescent="0.3">
      <c r="A124" s="34"/>
      <c r="B124" s="10" t="str">
        <f>CONCATENATE("          ","6285", " - ","JANITORIAL SERVICES")</f>
        <v xml:space="preserve">          6285 - JANITORIAL SERVICES</v>
      </c>
      <c r="C124" s="14"/>
      <c r="D124" s="2">
        <v>3863.75</v>
      </c>
      <c r="E124" s="2">
        <v>19921.73</v>
      </c>
      <c r="F124" s="2">
        <v>3473.38</v>
      </c>
      <c r="G124" s="2">
        <v>4339.03</v>
      </c>
      <c r="H124" s="2">
        <v>4222.28</v>
      </c>
      <c r="I124" s="2">
        <v>4406.71</v>
      </c>
      <c r="J124" s="2"/>
      <c r="K124" s="2"/>
      <c r="L124" s="2"/>
      <c r="M124" s="2"/>
      <c r="N124" s="2"/>
      <c r="O124" s="2"/>
      <c r="P124" s="9"/>
      <c r="Q124" s="2">
        <f>SUM(OSRRefD21_19_2x)+IFERROR(SUM(OSRRefE21_19_2x),0)</f>
        <v>40226.879999999997</v>
      </c>
    </row>
    <row r="125" spans="1:17" s="35" customFormat="1" hidden="1" outlineLevel="1" x14ac:dyDescent="0.3">
      <c r="A125" s="34"/>
      <c r="B125" s="10" t="str">
        <f>CONCATENATE("          ","6286", " - ","LAUNDRY EXPENSE")</f>
        <v xml:space="preserve">          6286 - LAUNDRY EXPENSE</v>
      </c>
      <c r="C125" s="14"/>
      <c r="D125" s="2"/>
      <c r="E125" s="2">
        <v>51.94</v>
      </c>
      <c r="F125" s="2">
        <v>51.94</v>
      </c>
      <c r="G125" s="2">
        <v>103.88</v>
      </c>
      <c r="H125" s="2">
        <v>103.88</v>
      </c>
      <c r="I125" s="2">
        <v>114.16</v>
      </c>
      <c r="J125" s="2">
        <v>34</v>
      </c>
      <c r="K125" s="2">
        <v>34</v>
      </c>
      <c r="L125" s="2">
        <v>34</v>
      </c>
      <c r="M125" s="2">
        <v>34</v>
      </c>
      <c r="N125" s="2">
        <v>34</v>
      </c>
      <c r="O125" s="2">
        <v>34</v>
      </c>
      <c r="P125" s="9"/>
      <c r="Q125" s="2">
        <f>SUM(OSRRefD21_19_3x)+IFERROR(SUM(OSRRefE21_19_3x),0)</f>
        <v>629.79999999999995</v>
      </c>
    </row>
    <row r="126" spans="1:17" s="35" customFormat="1" collapsed="1" x14ac:dyDescent="0.3">
      <c r="A126" s="34"/>
      <c r="B126" s="14" t="str">
        <f>CONCATENATE("     ","Subscriptions &amp; Dues                              ")</f>
        <v xml:space="preserve">     Subscriptions &amp; Dues                              </v>
      </c>
      <c r="C126" s="14"/>
      <c r="D126" s="1">
        <f>SUM(OSRRefD21_20x_0)</f>
        <v>68.319999999999993</v>
      </c>
      <c r="E126" s="1">
        <f>SUM(OSRRefD21_20x_1)</f>
        <v>57</v>
      </c>
      <c r="F126" s="1">
        <f>SUM(OSRRefD21_20x_2)</f>
        <v>-72.56</v>
      </c>
      <c r="G126" s="1">
        <f>SUM(OSRRefD21_20x_3)</f>
        <v>904.08</v>
      </c>
      <c r="H126" s="1">
        <f>SUM(OSRRefD21_20x_4)</f>
        <v>148.66</v>
      </c>
      <c r="I126" s="1">
        <f>SUM(OSRRefD21_20x_5)</f>
        <v>286.24</v>
      </c>
      <c r="J126" s="1">
        <f>SUM(OSRRefE21_20x_0)</f>
        <v>2381</v>
      </c>
      <c r="K126" s="1">
        <f>SUM(OSRRefE21_20x_1)</f>
        <v>1461</v>
      </c>
      <c r="L126" s="1">
        <f>SUM(OSRRefE21_20x_2)</f>
        <v>481</v>
      </c>
      <c r="M126" s="1">
        <f>SUM(OSRRefE21_20x_3)</f>
        <v>1461</v>
      </c>
      <c r="N126" s="1">
        <f>SUM(OSRRefE21_20x_4)</f>
        <v>481</v>
      </c>
      <c r="O126" s="1">
        <f>SUM(OSRRefE21_20x_5)</f>
        <v>661</v>
      </c>
      <c r="Q126" s="2">
        <f>SUM(OSRRefD20_20x)+IFERROR(SUM(OSRRefE20_20x),0)</f>
        <v>8317.74</v>
      </c>
    </row>
    <row r="127" spans="1:17" s="35" customFormat="1" hidden="1" outlineLevel="1" x14ac:dyDescent="0.3">
      <c r="A127" s="34"/>
      <c r="B127" s="10" t="str">
        <f>CONCATENATE("          ","6258", " - ","MEMBERSHIP DUES")</f>
        <v xml:space="preserve">          6258 - MEMBERSHIP DUES</v>
      </c>
      <c r="C127" s="14"/>
      <c r="D127" s="2">
        <v>68.319999999999993</v>
      </c>
      <c r="E127" s="2">
        <v>57</v>
      </c>
      <c r="F127" s="2">
        <v>-72.56</v>
      </c>
      <c r="G127" s="2">
        <v>904.08</v>
      </c>
      <c r="H127" s="2">
        <v>148.66</v>
      </c>
      <c r="I127" s="2">
        <v>286.24</v>
      </c>
      <c r="J127" s="2">
        <v>300</v>
      </c>
      <c r="K127" s="2">
        <v>1300</v>
      </c>
      <c r="L127" s="2">
        <v>300</v>
      </c>
      <c r="M127" s="2">
        <v>1300</v>
      </c>
      <c r="N127" s="2">
        <v>300</v>
      </c>
      <c r="O127" s="2">
        <v>500</v>
      </c>
      <c r="P127" s="9"/>
      <c r="Q127" s="2">
        <f>SUM(OSRRefD21_20_0x)+IFERROR(SUM(OSRRefE21_20_0x),0)</f>
        <v>5391.74</v>
      </c>
    </row>
    <row r="128" spans="1:17" s="35" customFormat="1" hidden="1" outlineLevel="1" x14ac:dyDescent="0.3">
      <c r="A128" s="34"/>
      <c r="B128" s="10" t="str">
        <f>CONCATENATE("          ","6275", " - ","SUBSCRIPTIONS")</f>
        <v xml:space="preserve">          6275 - SUBSCRIPTIONS</v>
      </c>
      <c r="C128" s="14"/>
      <c r="D128" s="2"/>
      <c r="E128" s="2"/>
      <c r="F128" s="2"/>
      <c r="G128" s="2"/>
      <c r="H128" s="2"/>
      <c r="I128" s="2"/>
      <c r="J128" s="2">
        <v>2081</v>
      </c>
      <c r="K128" s="2">
        <v>161</v>
      </c>
      <c r="L128" s="2">
        <v>181</v>
      </c>
      <c r="M128" s="2">
        <v>161</v>
      </c>
      <c r="N128" s="2">
        <v>181</v>
      </c>
      <c r="O128" s="2">
        <v>161</v>
      </c>
      <c r="P128" s="9"/>
      <c r="Q128" s="2">
        <f>SUM(OSRRefD21_20_1x)+IFERROR(SUM(OSRRefE21_20_1x),0)</f>
        <v>2926</v>
      </c>
    </row>
    <row r="129" spans="1:17" s="35" customFormat="1" collapsed="1" x14ac:dyDescent="0.3">
      <c r="A129" s="34"/>
      <c r="B129" s="14" t="str">
        <f>CONCATENATE("     ","Supplies                                          ")</f>
        <v xml:space="preserve">     Supplies                                          </v>
      </c>
      <c r="C129" s="14"/>
      <c r="D129" s="1">
        <f>SUM(OSRRefD21_21x_0)</f>
        <v>7198.6</v>
      </c>
      <c r="E129" s="1">
        <f>SUM(OSRRefD21_21x_1)</f>
        <v>15878.81</v>
      </c>
      <c r="F129" s="1">
        <f>SUM(OSRRefD21_21x_2)</f>
        <v>5529.02</v>
      </c>
      <c r="G129" s="1">
        <f>SUM(OSRRefD21_21x_3)</f>
        <v>13688.72</v>
      </c>
      <c r="H129" s="1">
        <f>SUM(OSRRefD21_21x_4)</f>
        <v>7026.06</v>
      </c>
      <c r="I129" s="1">
        <f>SUM(OSRRefD21_21x_5)</f>
        <v>6159.8700000000008</v>
      </c>
      <c r="J129" s="1">
        <f>SUM(OSRRefE21_21x_0)</f>
        <v>20380</v>
      </c>
      <c r="K129" s="1">
        <f>SUM(OSRRefE21_21x_1)</f>
        <v>16130</v>
      </c>
      <c r="L129" s="1">
        <f>SUM(OSRRefE21_21x_2)</f>
        <v>9030</v>
      </c>
      <c r="M129" s="1">
        <f>SUM(OSRRefE21_21x_3)</f>
        <v>12530</v>
      </c>
      <c r="N129" s="1">
        <f>SUM(OSRRefE21_21x_4)</f>
        <v>13620</v>
      </c>
      <c r="O129" s="1">
        <f>SUM(OSRRefE21_21x_5)</f>
        <v>8130</v>
      </c>
      <c r="Q129" s="2">
        <f>SUM(OSRRefD20_21x)+IFERROR(SUM(OSRRefE20_21x),0)</f>
        <v>135301.08000000002</v>
      </c>
    </row>
    <row r="130" spans="1:17" s="35" customFormat="1" hidden="1" outlineLevel="1" x14ac:dyDescent="0.3">
      <c r="A130" s="34"/>
      <c r="B130" s="10" t="str">
        <f>CONCATENATE("          ","6234", " - ","EXPENDABLE SUPPLIES &amp; EQUIPMEN")</f>
        <v xml:space="preserve">          6234 - EXPENDABLE SUPPLIES &amp; EQUIPMEN</v>
      </c>
      <c r="C130" s="14"/>
      <c r="D130" s="2"/>
      <c r="E130" s="2"/>
      <c r="F130" s="2"/>
      <c r="G130" s="2">
        <v>3737.3</v>
      </c>
      <c r="H130" s="2">
        <v>2747.16</v>
      </c>
      <c r="I130" s="2"/>
      <c r="J130" s="2">
        <v>500</v>
      </c>
      <c r="K130" s="2">
        <v>350</v>
      </c>
      <c r="L130" s="2">
        <v>350</v>
      </c>
      <c r="M130" s="2">
        <v>350</v>
      </c>
      <c r="N130" s="2">
        <v>350</v>
      </c>
      <c r="O130" s="2">
        <v>350</v>
      </c>
      <c r="P130" s="9"/>
      <c r="Q130" s="2">
        <f>SUM(OSRRefD21_21_0x)+IFERROR(SUM(OSRRefE21_21_0x),0)</f>
        <v>8734.4599999999991</v>
      </c>
    </row>
    <row r="131" spans="1:17" s="35" customFormat="1" hidden="1" outlineLevel="1" x14ac:dyDescent="0.3">
      <c r="A131" s="34"/>
      <c r="B131" s="10" t="str">
        <f>CONCATENATE("          ","6235", " - ","COVID-19 EXPENSES")</f>
        <v xml:space="preserve">          6235 - COVID-19 EXPENSES</v>
      </c>
      <c r="C131" s="14"/>
      <c r="D131" s="2">
        <v>272.22000000000003</v>
      </c>
      <c r="E131" s="2">
        <v>2695.61</v>
      </c>
      <c r="F131" s="2">
        <v>462.49</v>
      </c>
      <c r="G131" s="2"/>
      <c r="H131" s="2"/>
      <c r="I131" s="2"/>
      <c r="J131" s="2">
        <v>125</v>
      </c>
      <c r="K131" s="2">
        <v>125</v>
      </c>
      <c r="L131" s="2">
        <v>125</v>
      </c>
      <c r="M131" s="2">
        <v>125</v>
      </c>
      <c r="N131" s="2">
        <v>125</v>
      </c>
      <c r="O131" s="2">
        <v>125</v>
      </c>
      <c r="P131" s="9"/>
      <c r="Q131" s="2">
        <f>SUM(OSRRefD21_21_1x)+IFERROR(SUM(OSRRefE21_21_1x),0)</f>
        <v>4180.32</v>
      </c>
    </row>
    <row r="132" spans="1:17" s="35" customFormat="1" hidden="1" outlineLevel="1" x14ac:dyDescent="0.3">
      <c r="A132" s="34"/>
      <c r="B132" s="10" t="str">
        <f>CONCATENATE("          ","6237", " - ","JANITORIAL SUPPLIES")</f>
        <v xml:space="preserve">          6237 - JANITORIAL SUPPLIES</v>
      </c>
      <c r="C132" s="14"/>
      <c r="D132" s="2">
        <v>655.97</v>
      </c>
      <c r="E132" s="2">
        <v>1577.68</v>
      </c>
      <c r="F132" s="2">
        <v>366.22</v>
      </c>
      <c r="G132" s="2">
        <v>1303.78</v>
      </c>
      <c r="H132" s="2">
        <v>489.67</v>
      </c>
      <c r="I132" s="2">
        <v>76.540000000000006</v>
      </c>
      <c r="J132" s="2">
        <v>60</v>
      </c>
      <c r="K132" s="2">
        <v>60</v>
      </c>
      <c r="L132" s="2">
        <v>10</v>
      </c>
      <c r="M132" s="2">
        <v>60</v>
      </c>
      <c r="N132" s="2">
        <v>50</v>
      </c>
      <c r="O132" s="2">
        <v>10</v>
      </c>
      <c r="P132" s="9"/>
      <c r="Q132" s="2">
        <f>SUM(OSRRefD21_21_2x)+IFERROR(SUM(OSRRefE21_21_2x),0)</f>
        <v>4719.8599999999997</v>
      </c>
    </row>
    <row r="133" spans="1:17" s="35" customFormat="1" hidden="1" outlineLevel="1" x14ac:dyDescent="0.3">
      <c r="A133" s="34"/>
      <c r="B133" s="10" t="str">
        <f>CONCATENATE("          ","6241", " - ","OFFICE EXPENSE")</f>
        <v xml:space="preserve">          6241 - OFFICE EXPENSE</v>
      </c>
      <c r="C133" s="14"/>
      <c r="D133" s="2">
        <v>518.65</v>
      </c>
      <c r="E133" s="2">
        <v>5376.83</v>
      </c>
      <c r="F133" s="2">
        <v>278.41000000000003</v>
      </c>
      <c r="G133" s="2">
        <v>1032.81</v>
      </c>
      <c r="H133" s="2">
        <v>512.19000000000005</v>
      </c>
      <c r="I133" s="2">
        <v>892.08</v>
      </c>
      <c r="J133" s="2">
        <v>670</v>
      </c>
      <c r="K133" s="2">
        <v>720</v>
      </c>
      <c r="L133" s="2">
        <v>470</v>
      </c>
      <c r="M133" s="2">
        <v>470</v>
      </c>
      <c r="N133" s="2">
        <v>470</v>
      </c>
      <c r="O133" s="2">
        <v>420</v>
      </c>
      <c r="P133" s="9"/>
      <c r="Q133" s="2">
        <f>SUM(OSRRefD21_21_3x)+IFERROR(SUM(OSRRefE21_21_3x),0)</f>
        <v>11830.97</v>
      </c>
    </row>
    <row r="134" spans="1:17" s="35" customFormat="1" hidden="1" outlineLevel="1" x14ac:dyDescent="0.3">
      <c r="A134" s="34"/>
      <c r="B134" s="10" t="str">
        <f>CONCATENATE("          ","6243", " - ","PAPER SUPPLIES")</f>
        <v xml:space="preserve">          6243 - PAPER SUPPLIES</v>
      </c>
      <c r="C134" s="14"/>
      <c r="D134" s="2">
        <v>1649.24</v>
      </c>
      <c r="E134" s="2">
        <v>1801.68</v>
      </c>
      <c r="F134" s="2"/>
      <c r="G134" s="2">
        <v>735.87</v>
      </c>
      <c r="H134" s="2">
        <v>284.11</v>
      </c>
      <c r="I134" s="2"/>
      <c r="J134" s="2">
        <v>7700</v>
      </c>
      <c r="K134" s="2">
        <v>4000</v>
      </c>
      <c r="L134" s="2">
        <v>350</v>
      </c>
      <c r="M134" s="2">
        <v>4400</v>
      </c>
      <c r="N134" s="2">
        <v>3000</v>
      </c>
      <c r="O134" s="2">
        <v>1450</v>
      </c>
      <c r="P134" s="9"/>
      <c r="Q134" s="2">
        <f>SUM(OSRRefD21_21_4x)+IFERROR(SUM(OSRRefE21_21_4x),0)</f>
        <v>25370.9</v>
      </c>
    </row>
    <row r="135" spans="1:17" s="35" customFormat="1" hidden="1" outlineLevel="1" x14ac:dyDescent="0.3">
      <c r="A135" s="34"/>
      <c r="B135" s="10" t="str">
        <f>CONCATENATE("          ","6245", " - ","PRINTING")</f>
        <v xml:space="preserve">          6245 - PRINTING</v>
      </c>
      <c r="C135" s="14"/>
      <c r="D135" s="2">
        <v>251.64</v>
      </c>
      <c r="E135" s="2">
        <v>-851.82</v>
      </c>
      <c r="F135" s="2">
        <v>276.43</v>
      </c>
      <c r="G135" s="2">
        <v>296.68</v>
      </c>
      <c r="H135" s="2">
        <v>1092.56</v>
      </c>
      <c r="I135" s="2">
        <v>1046.49</v>
      </c>
      <c r="J135" s="2">
        <v>3750</v>
      </c>
      <c r="K135" s="2">
        <v>1600</v>
      </c>
      <c r="L135" s="2">
        <v>500</v>
      </c>
      <c r="M135" s="2">
        <v>50</v>
      </c>
      <c r="N135" s="2">
        <v>2300</v>
      </c>
      <c r="O135" s="2">
        <v>50</v>
      </c>
      <c r="P135" s="9"/>
      <c r="Q135" s="2">
        <f>SUM(OSRRefD21_21_5x)+IFERROR(SUM(OSRRefE21_21_5x),0)</f>
        <v>10361.98</v>
      </c>
    </row>
    <row r="136" spans="1:17" s="35" customFormat="1" hidden="1" outlineLevel="1" x14ac:dyDescent="0.3">
      <c r="A136" s="34"/>
      <c r="B136" s="10" t="str">
        <f>CONCATENATE("          ","6247", " - ","STORE SUPPLIES")</f>
        <v xml:space="preserve">          6247 - STORE SUPPLIES</v>
      </c>
      <c r="C136" s="14"/>
      <c r="D136" s="2">
        <v>3850.88</v>
      </c>
      <c r="E136" s="2">
        <v>5278.83</v>
      </c>
      <c r="F136" s="2">
        <v>4145.47</v>
      </c>
      <c r="G136" s="2">
        <v>6582.28</v>
      </c>
      <c r="H136" s="2">
        <v>1900.37</v>
      </c>
      <c r="I136" s="2">
        <v>4144.76</v>
      </c>
      <c r="J136" s="2">
        <v>7575</v>
      </c>
      <c r="K136" s="2">
        <v>9275</v>
      </c>
      <c r="L136" s="2">
        <v>7225</v>
      </c>
      <c r="M136" s="2">
        <v>7075</v>
      </c>
      <c r="N136" s="2">
        <v>7325</v>
      </c>
      <c r="O136" s="2">
        <v>5725</v>
      </c>
      <c r="P136" s="9"/>
      <c r="Q136" s="2">
        <f>SUM(OSRRefD21_21_6x)+IFERROR(SUM(OSRRefE21_21_6x),0)</f>
        <v>70102.59</v>
      </c>
    </row>
    <row r="137" spans="1:17" s="35" customFormat="1" collapsed="1" x14ac:dyDescent="0.3">
      <c r="A137" s="34"/>
      <c r="B137" s="14" t="str">
        <f>CONCATENATE("     ","Telephone/Data Lines                              ")</f>
        <v xml:space="preserve">     Telephone/Data Lines                              </v>
      </c>
      <c r="C137" s="14"/>
      <c r="D137" s="1">
        <f>SUM(OSRRefD21_22x_0)</f>
        <v>1687.24</v>
      </c>
      <c r="E137" s="1">
        <f>SUM(OSRRefD21_22x_1)</f>
        <v>2274.39</v>
      </c>
      <c r="F137" s="1">
        <f>SUM(OSRRefD21_22x_2)</f>
        <v>1901.69</v>
      </c>
      <c r="G137" s="1">
        <f>SUM(OSRRefD21_22x_3)</f>
        <v>2257.39</v>
      </c>
      <c r="H137" s="1">
        <f>SUM(OSRRefD21_22x_4)</f>
        <v>1923.64</v>
      </c>
      <c r="I137" s="1">
        <f>SUM(OSRRefD21_22x_5)</f>
        <v>1769.01</v>
      </c>
      <c r="J137" s="1">
        <f>SUM(OSRRefE21_22x_0)</f>
        <v>2013</v>
      </c>
      <c r="K137" s="1">
        <f>SUM(OSRRefE21_22x_1)</f>
        <v>1913</v>
      </c>
      <c r="L137" s="1">
        <f>SUM(OSRRefE21_22x_2)</f>
        <v>1913</v>
      </c>
      <c r="M137" s="1">
        <f>SUM(OSRRefE21_22x_3)</f>
        <v>1913</v>
      </c>
      <c r="N137" s="1">
        <f>SUM(OSRRefE21_22x_4)</f>
        <v>1913</v>
      </c>
      <c r="O137" s="1">
        <f>SUM(OSRRefE21_22x_5)</f>
        <v>1913</v>
      </c>
      <c r="Q137" s="2">
        <f>SUM(OSRRefD20_22x)+IFERROR(SUM(OSRRefE20_22x),0)</f>
        <v>23391.360000000001</v>
      </c>
    </row>
    <row r="138" spans="1:17" s="35" customFormat="1" hidden="1" outlineLevel="1" x14ac:dyDescent="0.3">
      <c r="A138" s="34"/>
      <c r="B138" s="10" t="str">
        <f>CONCATENATE("          ","6303", " - ","DATA PHONE LINES")</f>
        <v xml:space="preserve">          6303 - DATA PHONE LINES</v>
      </c>
      <c r="C138" s="14"/>
      <c r="D138" s="2">
        <v>295</v>
      </c>
      <c r="E138" s="2"/>
      <c r="F138" s="2"/>
      <c r="G138" s="2"/>
      <c r="H138" s="2"/>
      <c r="I138" s="2"/>
      <c r="J138" s="2">
        <v>50</v>
      </c>
      <c r="K138" s="2">
        <v>50</v>
      </c>
      <c r="L138" s="2">
        <v>50</v>
      </c>
      <c r="M138" s="2">
        <v>50</v>
      </c>
      <c r="N138" s="2">
        <v>50</v>
      </c>
      <c r="O138" s="2">
        <v>50</v>
      </c>
      <c r="P138" s="9"/>
      <c r="Q138" s="2">
        <f>SUM(OSRRefD21_22_0x)+IFERROR(SUM(OSRRefE21_22_0x),0)</f>
        <v>595</v>
      </c>
    </row>
    <row r="139" spans="1:17" s="35" customFormat="1" hidden="1" outlineLevel="1" x14ac:dyDescent="0.3">
      <c r="A139" s="34"/>
      <c r="B139" s="10" t="str">
        <f>CONCATENATE("          ","6309", " - ","TELEPHONE")</f>
        <v xml:space="preserve">          6309 - TELEPHONE</v>
      </c>
      <c r="C139" s="14"/>
      <c r="D139" s="2">
        <v>1392.24</v>
      </c>
      <c r="E139" s="2">
        <v>2274.39</v>
      </c>
      <c r="F139" s="2">
        <v>1901.69</v>
      </c>
      <c r="G139" s="2">
        <v>2257.39</v>
      </c>
      <c r="H139" s="2">
        <v>1923.64</v>
      </c>
      <c r="I139" s="2">
        <v>1769.01</v>
      </c>
      <c r="J139" s="2">
        <v>1963</v>
      </c>
      <c r="K139" s="2">
        <v>1863</v>
      </c>
      <c r="L139" s="2">
        <v>1863</v>
      </c>
      <c r="M139" s="2">
        <v>1863</v>
      </c>
      <c r="N139" s="2">
        <v>1863</v>
      </c>
      <c r="O139" s="2">
        <v>1863</v>
      </c>
      <c r="P139" s="9"/>
      <c r="Q139" s="2">
        <f>SUM(OSRRefD21_22_1x)+IFERROR(SUM(OSRRefE21_22_1x),0)</f>
        <v>22796.36</v>
      </c>
    </row>
    <row r="140" spans="1:17" s="35" customFormat="1" collapsed="1" x14ac:dyDescent="0.3">
      <c r="A140" s="34"/>
      <c r="B140" s="14" t="str">
        <f>CONCATENATE("     ","Training                                          ")</f>
        <v xml:space="preserve">     Training                                          </v>
      </c>
      <c r="C140" s="14"/>
      <c r="D140" s="1">
        <f>SUM(OSRRefD21_23x_0)</f>
        <v>0</v>
      </c>
      <c r="E140" s="1">
        <f>SUM(OSRRefD21_23x_1)</f>
        <v>0</v>
      </c>
      <c r="F140" s="1">
        <f>SUM(OSRRefD21_23x_2)</f>
        <v>595</v>
      </c>
      <c r="G140" s="1">
        <f>SUM(OSRRefD21_23x_3)</f>
        <v>0</v>
      </c>
      <c r="H140" s="1">
        <f>SUM(OSRRefD21_23x_4)</f>
        <v>0</v>
      </c>
      <c r="I140" s="1">
        <f>SUM(OSRRefD21_23x_5)</f>
        <v>0</v>
      </c>
      <c r="J140" s="1">
        <f>SUM(OSRRefE21_23x_0)</f>
        <v>75</v>
      </c>
      <c r="K140" s="1">
        <f>SUM(OSRRefE21_23x_1)</f>
        <v>2000</v>
      </c>
      <c r="L140" s="1">
        <f>SUM(OSRRefE21_23x_2)</f>
        <v>0</v>
      </c>
      <c r="M140" s="1">
        <f>SUM(OSRRefE21_23x_3)</f>
        <v>0</v>
      </c>
      <c r="N140" s="1">
        <f>SUM(OSRRefE21_23x_4)</f>
        <v>0</v>
      </c>
      <c r="O140" s="1">
        <f>SUM(OSRRefE21_23x_5)</f>
        <v>0</v>
      </c>
      <c r="Q140" s="2">
        <f>SUM(OSRRefD20_23x)+IFERROR(SUM(OSRRefE20_23x),0)</f>
        <v>2670</v>
      </c>
    </row>
    <row r="141" spans="1:17" s="35" customFormat="1" hidden="1" outlineLevel="1" x14ac:dyDescent="0.3">
      <c r="A141" s="34"/>
      <c r="B141" s="10" t="str">
        <f>CONCATENATE("          ","6376", " - ","TRAINING")</f>
        <v xml:space="preserve">          6376 - TRAINING</v>
      </c>
      <c r="C141" s="14"/>
      <c r="D141" s="2"/>
      <c r="E141" s="2"/>
      <c r="F141" s="2">
        <v>595</v>
      </c>
      <c r="G141" s="2"/>
      <c r="H141" s="2"/>
      <c r="I141" s="2"/>
      <c r="J141" s="2">
        <v>75</v>
      </c>
      <c r="K141" s="2">
        <v>2000</v>
      </c>
      <c r="L141" s="2">
        <v>0</v>
      </c>
      <c r="M141" s="2">
        <v>0</v>
      </c>
      <c r="N141" s="2">
        <v>0</v>
      </c>
      <c r="O141" s="2"/>
      <c r="P141" s="9"/>
      <c r="Q141" s="2">
        <f>SUM(OSRRefD21_23_0x)+IFERROR(SUM(OSRRefE21_23_0x),0)</f>
        <v>2670</v>
      </c>
    </row>
    <row r="142" spans="1:17" s="35" customFormat="1" collapsed="1" x14ac:dyDescent="0.3">
      <c r="A142" s="34"/>
      <c r="B142" s="14" t="str">
        <f>CONCATENATE("     ","Travel                                            ")</f>
        <v xml:space="preserve">     Travel                                            </v>
      </c>
      <c r="C142" s="14"/>
      <c r="D142" s="1">
        <f>SUM(OSRRefD21_24x_0)</f>
        <v>683.14</v>
      </c>
      <c r="E142" s="1">
        <f>SUM(OSRRefD21_24x_1)</f>
        <v>0</v>
      </c>
      <c r="F142" s="1">
        <f>SUM(OSRRefD21_24x_2)</f>
        <v>27.39</v>
      </c>
      <c r="G142" s="1">
        <f>SUM(OSRRefD21_24x_3)</f>
        <v>50</v>
      </c>
      <c r="H142" s="1">
        <f>SUM(OSRRefD21_24x_4)</f>
        <v>97.08</v>
      </c>
      <c r="I142" s="1">
        <f>SUM(OSRRefD21_24x_5)</f>
        <v>24.4</v>
      </c>
      <c r="J142" s="1">
        <f>SUM(OSRRefE21_24x_0)</f>
        <v>175</v>
      </c>
      <c r="K142" s="1">
        <f>SUM(OSRRefE21_24x_1)</f>
        <v>175</v>
      </c>
      <c r="L142" s="1">
        <f>SUM(OSRRefE21_24x_2)</f>
        <v>175</v>
      </c>
      <c r="M142" s="1">
        <f>SUM(OSRRefE21_24x_3)</f>
        <v>175</v>
      </c>
      <c r="N142" s="1">
        <f>SUM(OSRRefE21_24x_4)</f>
        <v>175</v>
      </c>
      <c r="O142" s="1">
        <f>SUM(OSRRefE21_24x_5)</f>
        <v>175</v>
      </c>
      <c r="Q142" s="2">
        <f>SUM(OSRRefD20_24x)+IFERROR(SUM(OSRRefE20_24x),0)</f>
        <v>1932.01</v>
      </c>
    </row>
    <row r="143" spans="1:17" s="35" customFormat="1" hidden="1" outlineLevel="1" x14ac:dyDescent="0.3">
      <c r="A143" s="34"/>
      <c r="B143" s="10" t="str">
        <f>CONCATENATE("          ","6292", " - ","TRAVEL/CONFERENCE")</f>
        <v xml:space="preserve">          6292 - TRAVEL/CONFERENCE</v>
      </c>
      <c r="C143" s="14"/>
      <c r="D143" s="2">
        <v>495</v>
      </c>
      <c r="E143" s="2"/>
      <c r="F143" s="2"/>
      <c r="G143" s="2"/>
      <c r="H143" s="2"/>
      <c r="I143" s="2"/>
      <c r="J143" s="2">
        <v>125</v>
      </c>
      <c r="K143" s="2">
        <v>125</v>
      </c>
      <c r="L143" s="2">
        <v>125</v>
      </c>
      <c r="M143" s="2">
        <v>125</v>
      </c>
      <c r="N143" s="2">
        <v>125</v>
      </c>
      <c r="O143" s="2">
        <v>125</v>
      </c>
      <c r="P143" s="9"/>
      <c r="Q143" s="2">
        <f>SUM(OSRRefD21_24_0x)+IFERROR(SUM(OSRRefE21_24_0x),0)</f>
        <v>1245</v>
      </c>
    </row>
    <row r="144" spans="1:17" s="35" customFormat="1" hidden="1" outlineLevel="1" x14ac:dyDescent="0.3">
      <c r="A144" s="34"/>
      <c r="B144" s="10" t="str">
        <f>CONCATENATE("          ","6294", " - ","TRAVEL OPERATIONAL")</f>
        <v xml:space="preserve">          6294 - TRAVEL OPERATIONAL</v>
      </c>
      <c r="C144" s="14"/>
      <c r="D144" s="2">
        <v>188.14</v>
      </c>
      <c r="E144" s="2"/>
      <c r="F144" s="2">
        <v>27.39</v>
      </c>
      <c r="G144" s="2"/>
      <c r="H144" s="2"/>
      <c r="I144" s="2">
        <v>24.4</v>
      </c>
      <c r="J144" s="2">
        <v>25</v>
      </c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SUM(OSRRefD21_24_1x)+IFERROR(SUM(OSRRefE21_24_1x),0)</f>
        <v>389.92999999999995</v>
      </c>
    </row>
    <row r="145" spans="1:17" s="35" customFormat="1" hidden="1" outlineLevel="1" x14ac:dyDescent="0.3">
      <c r="A145" s="34"/>
      <c r="B145" s="10" t="str">
        <f>CONCATENATE("          ","6298", " - ","VEHICLE MILEAGE")</f>
        <v xml:space="preserve">          6298 - VEHICLE MILEAGE</v>
      </c>
      <c r="C145" s="14"/>
      <c r="D145" s="2"/>
      <c r="E145" s="2"/>
      <c r="F145" s="2"/>
      <c r="G145" s="2">
        <v>50</v>
      </c>
      <c r="H145" s="2">
        <v>97.08</v>
      </c>
      <c r="I145" s="2"/>
      <c r="J145" s="2">
        <v>25</v>
      </c>
      <c r="K145" s="2">
        <v>25</v>
      </c>
      <c r="L145" s="2">
        <v>25</v>
      </c>
      <c r="M145" s="2">
        <v>25</v>
      </c>
      <c r="N145" s="2">
        <v>25</v>
      </c>
      <c r="O145" s="2">
        <v>25</v>
      </c>
      <c r="P145" s="9"/>
      <c r="Q145" s="2">
        <f>SUM(OSRRefD21_24_2x)+IFERROR(SUM(OSRRefE21_24_2x),0)</f>
        <v>297.08</v>
      </c>
    </row>
    <row r="146" spans="1:17" s="35" customFormat="1" collapsed="1" x14ac:dyDescent="0.3">
      <c r="A146" s="34"/>
      <c r="B146" s="14" t="str">
        <f>CONCATENATE("     ","Utilities                                         ")</f>
        <v xml:space="preserve">     Utilities                                         </v>
      </c>
      <c r="C146" s="14"/>
      <c r="D146" s="1">
        <f>SUM(OSRRefD21_25x_0)</f>
        <v>6136.49</v>
      </c>
      <c r="E146" s="1">
        <f>SUM(OSRRefD21_25x_1)</f>
        <v>6137.29</v>
      </c>
      <c r="F146" s="1">
        <f>SUM(OSRRefD21_25x_2)</f>
        <v>6137.6</v>
      </c>
      <c r="G146" s="1">
        <f>SUM(OSRRefD21_25x_3)</f>
        <v>6138.6</v>
      </c>
      <c r="H146" s="1">
        <f>SUM(OSRRefD21_25x_4)</f>
        <v>6133.61</v>
      </c>
      <c r="I146" s="1">
        <f>SUM(OSRRefD21_25x_5)</f>
        <v>162.91999999999999</v>
      </c>
      <c r="J146" s="1">
        <f>SUM(OSRRefE21_25x_0)</f>
        <v>6120</v>
      </c>
      <c r="K146" s="1">
        <f>SUM(OSRRefE21_25x_1)</f>
        <v>8800</v>
      </c>
      <c r="L146" s="1">
        <f>SUM(OSRRefE21_25x_2)</f>
        <v>6120</v>
      </c>
      <c r="M146" s="1">
        <f>SUM(OSRRefE21_25x_3)</f>
        <v>6120</v>
      </c>
      <c r="N146" s="1">
        <f>SUM(OSRRefE21_25x_4)</f>
        <v>6120</v>
      </c>
      <c r="O146" s="1">
        <f>SUM(OSRRefE21_25x_5)</f>
        <v>6120</v>
      </c>
      <c r="Q146" s="2">
        <f>SUM(OSRRefD20_25x)+IFERROR(SUM(OSRRefE20_25x),0)</f>
        <v>70246.509999999995</v>
      </c>
    </row>
    <row r="147" spans="1:17" s="35" customFormat="1" hidden="1" outlineLevel="1" x14ac:dyDescent="0.3">
      <c r="A147" s="34"/>
      <c r="B147" s="10" t="str">
        <f>CONCATENATE("          ","6274", " - ","UTILITIES")</f>
        <v xml:space="preserve">          6274 - UTILITIES</v>
      </c>
      <c r="C147" s="14"/>
      <c r="D147" s="2">
        <v>6136.49</v>
      </c>
      <c r="E147" s="2">
        <v>6137.29</v>
      </c>
      <c r="F147" s="2">
        <v>6137.6</v>
      </c>
      <c r="G147" s="2">
        <v>6138.6</v>
      </c>
      <c r="H147" s="2">
        <v>6133.61</v>
      </c>
      <c r="I147" s="2">
        <v>162.91999999999999</v>
      </c>
      <c r="J147" s="2">
        <v>6120</v>
      </c>
      <c r="K147" s="2">
        <v>8800</v>
      </c>
      <c r="L147" s="2">
        <v>6120</v>
      </c>
      <c r="M147" s="2">
        <v>6120</v>
      </c>
      <c r="N147" s="2">
        <v>6120</v>
      </c>
      <c r="O147" s="2">
        <v>6120</v>
      </c>
      <c r="P147" s="9"/>
      <c r="Q147" s="2">
        <f>SUM(OSRRefD21_25_0x)+IFERROR(SUM(OSRRefE21_25_0x),0)</f>
        <v>70246.509999999995</v>
      </c>
    </row>
    <row r="148" spans="1:17" s="29" customFormat="1" x14ac:dyDescent="0.3">
      <c r="A148" s="21"/>
      <c r="B148" s="21"/>
      <c r="C148" s="2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</row>
    <row r="149" spans="1:17" s="9" customFormat="1" x14ac:dyDescent="0.3">
      <c r="A149" s="23"/>
      <c r="B149" s="16" t="s">
        <v>293</v>
      </c>
      <c r="C149" s="22"/>
      <c r="D149" s="3">
        <f>--39640.85</f>
        <v>39640.85</v>
      </c>
      <c r="E149" s="3">
        <f>--144356.09</f>
        <v>144356.09</v>
      </c>
      <c r="F149" s="3">
        <f>--178854.34</f>
        <v>178854.34</v>
      </c>
      <c r="G149" s="3">
        <f>--38787.7</f>
        <v>38787.699999999997</v>
      </c>
      <c r="H149" s="3">
        <f>--54598.81</f>
        <v>54598.81</v>
      </c>
      <c r="I149" s="3">
        <f>--13670.93</f>
        <v>13670.93</v>
      </c>
      <c r="J149" s="3">
        <v>27724.33</v>
      </c>
      <c r="K149" s="3">
        <v>212602.4</v>
      </c>
      <c r="L149" s="3">
        <v>62092</v>
      </c>
      <c r="M149" s="3">
        <v>32626</v>
      </c>
      <c r="N149" s="3">
        <v>302754</v>
      </c>
      <c r="O149" s="3">
        <v>219676</v>
      </c>
      <c r="Q149" s="2">
        <f>SUM(OSRRefD23_0x)+IFERROR(SUM(OSRRefE23_0x),0)</f>
        <v>1327383.45</v>
      </c>
    </row>
    <row r="150" spans="1:17" x14ac:dyDescent="0.3">
      <c r="A150" s="5"/>
      <c r="B150" s="6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s="15" customFormat="1" x14ac:dyDescent="0.3">
      <c r="A151" s="6"/>
      <c r="B151" s="17" t="s">
        <v>276</v>
      </c>
      <c r="C151" s="17"/>
      <c r="D151" s="7">
        <f t="shared" ref="D151:O151" si="5">IFERROR(+D52-D55+D149, 0)</f>
        <v>-242642.59999999989</v>
      </c>
      <c r="E151" s="7">
        <f t="shared" si="5"/>
        <v>300187.23</v>
      </c>
      <c r="F151" s="7">
        <f t="shared" si="5"/>
        <v>75802.290000000183</v>
      </c>
      <c r="G151" s="7">
        <f t="shared" si="5"/>
        <v>-59387.39999999998</v>
      </c>
      <c r="H151" s="7">
        <f t="shared" si="5"/>
        <v>-70878.749999999854</v>
      </c>
      <c r="I151" s="7">
        <f t="shared" si="5"/>
        <v>-39543.519999999895</v>
      </c>
      <c r="J151" s="7">
        <f t="shared" si="5"/>
        <v>255639.85907610902</v>
      </c>
      <c r="K151" s="7">
        <f t="shared" si="5"/>
        <v>143609.0593164372</v>
      </c>
      <c r="L151" s="7">
        <f t="shared" si="5"/>
        <v>-7052.8968668128364</v>
      </c>
      <c r="M151" s="7">
        <f t="shared" si="5"/>
        <v>-101447.93499389105</v>
      </c>
      <c r="N151" s="7">
        <f t="shared" si="5"/>
        <v>208761.50437743717</v>
      </c>
      <c r="O151" s="7">
        <f t="shared" si="5"/>
        <v>53228.248327787151</v>
      </c>
      <c r="Q151" s="7">
        <f>IFERROR(+Q52-Q55+Q149, 0)</f>
        <v>516275.08923706575</v>
      </c>
    </row>
    <row r="152" spans="1:17" s="6" customFormat="1" x14ac:dyDescent="0.3">
      <c r="B152" s="16"/>
      <c r="C152" s="16"/>
      <c r="D152" s="4">
        <f t="shared" ref="D152:O152" si="6">IFERROR(D151/D10, 0)</f>
        <v>-1.1004288379289404</v>
      </c>
      <c r="E152" s="4">
        <f t="shared" si="6"/>
        <v>0.19756183841651229</v>
      </c>
      <c r="F152" s="4">
        <f t="shared" si="6"/>
        <v>0.12621818094990958</v>
      </c>
      <c r="G152" s="4">
        <f t="shared" si="6"/>
        <v>-0.10305771340583411</v>
      </c>
      <c r="H152" s="4">
        <f t="shared" si="6"/>
        <v>-0.22859712777221186</v>
      </c>
      <c r="I152" s="4">
        <f t="shared" si="6"/>
        <v>-7.7429876491738422E-2</v>
      </c>
      <c r="J152" s="4">
        <f t="shared" si="6"/>
        <v>0.12595206048111951</v>
      </c>
      <c r="K152" s="4">
        <f t="shared" si="6"/>
        <v>0.22285562987882943</v>
      </c>
      <c r="L152" s="4">
        <f t="shared" si="6"/>
        <v>-1.5565769519982954E-2</v>
      </c>
      <c r="M152" s="4">
        <f t="shared" si="6"/>
        <v>-0.23202896245580851</v>
      </c>
      <c r="N152" s="4">
        <f t="shared" si="6"/>
        <v>0.49330560193539336</v>
      </c>
      <c r="O152" s="4">
        <f t="shared" si="6"/>
        <v>0.17891848177407446</v>
      </c>
      <c r="P152" s="18"/>
      <c r="Q152" s="4">
        <f>IFERROR(Q151/Q10, 0)</f>
        <v>6.4352470649013754E-2</v>
      </c>
    </row>
    <row r="153" spans="1:17" x14ac:dyDescent="0.3">
      <c r="A153" s="5"/>
      <c r="B153" s="6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x14ac:dyDescent="0.3">
      <c r="A154" s="25"/>
      <c r="B154" s="6" t="s">
        <v>125</v>
      </c>
      <c r="C154" s="6"/>
      <c r="D154" s="3">
        <v>101869.27</v>
      </c>
      <c r="E154" s="3">
        <v>158137.92000000001</v>
      </c>
      <c r="F154" s="3">
        <v>29692.560000000001</v>
      </c>
      <c r="G154" s="3">
        <v>47455.6</v>
      </c>
      <c r="H154" s="3">
        <v>47198.79</v>
      </c>
      <c r="I154" s="3">
        <v>65536.3</v>
      </c>
      <c r="J154" s="3">
        <v>232987</v>
      </c>
      <c r="K154" s="3">
        <v>57018</v>
      </c>
      <c r="L154" s="3">
        <v>51553</v>
      </c>
      <c r="M154" s="3">
        <v>63937</v>
      </c>
      <c r="N154" s="3">
        <v>60678</v>
      </c>
      <c r="O154" s="3">
        <v>-62383</v>
      </c>
      <c r="Q154" s="2">
        <f>SUM(OSRRefD28_0x)+IFERROR(SUM(OSRRefE28_0x),0)</f>
        <v>853680.44</v>
      </c>
    </row>
    <row r="155" spans="1:17" x14ac:dyDescent="0.3">
      <c r="A155" s="5"/>
      <c r="B155" s="6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</row>
    <row r="156" spans="1:17" s="15" customFormat="1" ht="15" thickBot="1" x14ac:dyDescent="0.35">
      <c r="A156" s="6"/>
      <c r="B156" s="17" t="s">
        <v>124</v>
      </c>
      <c r="C156" s="17"/>
      <c r="D156" s="8">
        <f t="shared" ref="D156:O156" si="7">IFERROR(+D151-D154, 0)</f>
        <v>-344511.86999999988</v>
      </c>
      <c r="E156" s="8">
        <f t="shared" si="7"/>
        <v>142049.30999999997</v>
      </c>
      <c r="F156" s="8">
        <f t="shared" si="7"/>
        <v>46109.730000000185</v>
      </c>
      <c r="G156" s="8">
        <f t="shared" si="7"/>
        <v>-106842.99999999997</v>
      </c>
      <c r="H156" s="8">
        <f t="shared" si="7"/>
        <v>-118077.53999999986</v>
      </c>
      <c r="I156" s="8">
        <f t="shared" si="7"/>
        <v>-105079.81999999989</v>
      </c>
      <c r="J156" s="8">
        <f t="shared" si="7"/>
        <v>22652.859076109016</v>
      </c>
      <c r="K156" s="8">
        <f t="shared" si="7"/>
        <v>86591.059316437197</v>
      </c>
      <c r="L156" s="8">
        <f t="shared" si="7"/>
        <v>-58605.896866812836</v>
      </c>
      <c r="M156" s="8">
        <f t="shared" si="7"/>
        <v>-165384.93499389105</v>
      </c>
      <c r="N156" s="8">
        <f t="shared" si="7"/>
        <v>148083.50437743717</v>
      </c>
      <c r="O156" s="8">
        <f t="shared" si="7"/>
        <v>115611.24832778715</v>
      </c>
      <c r="Q156" s="8">
        <f>IFERROR(+Q151-Q154, 0)</f>
        <v>-337405.35076293419</v>
      </c>
    </row>
    <row r="157" spans="1:17" ht="15" thickTop="1" x14ac:dyDescent="0.3">
      <c r="A157" s="5"/>
      <c r="B157" s="5"/>
      <c r="C157" s="5"/>
      <c r="D157" s="4">
        <f t="shared" ref="D157:O157" si="8">IFERROR(D156/D10, 0)</f>
        <v>-1.5624247216145319</v>
      </c>
      <c r="E157" s="4">
        <f t="shared" si="8"/>
        <v>9.3486731029154904E-2</v>
      </c>
      <c r="F157" s="4">
        <f t="shared" si="8"/>
        <v>7.6777182387121598E-2</v>
      </c>
      <c r="G157" s="4">
        <f t="shared" si="8"/>
        <v>-0.1854096201116657</v>
      </c>
      <c r="H157" s="4">
        <f t="shared" si="8"/>
        <v>-0.38082198823213559</v>
      </c>
      <c r="I157" s="4">
        <f t="shared" si="8"/>
        <v>-0.2057560248651136</v>
      </c>
      <c r="J157" s="4">
        <f t="shared" si="8"/>
        <v>1.1160913195367212E-2</v>
      </c>
      <c r="K157" s="4">
        <f t="shared" si="8"/>
        <v>0.13437386998907083</v>
      </c>
      <c r="L157" s="4">
        <f t="shared" si="8"/>
        <v>-0.1293434315526775</v>
      </c>
      <c r="M157" s="4">
        <f t="shared" si="8"/>
        <v>-0.37826393287122767</v>
      </c>
      <c r="N157" s="4">
        <f t="shared" si="8"/>
        <v>0.34992285805499945</v>
      </c>
      <c r="O157" s="4">
        <f t="shared" si="8"/>
        <v>0.38860923807659548</v>
      </c>
      <c r="P157" s="18"/>
      <c r="Q157" s="4">
        <f>IFERROR(Q156/Q10, 0)</f>
        <v>-4.2056780163223582E-2</v>
      </c>
    </row>
    <row r="158" spans="1:17" x14ac:dyDescent="0.3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x14ac:dyDescent="0.3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</row>
    <row r="160" spans="1:17" s="15" customFormat="1" ht="15" thickBot="1" x14ac:dyDescent="0.35">
      <c r="A160" s="6"/>
      <c r="B160" s="17" t="s">
        <v>294</v>
      </c>
      <c r="C160" s="17"/>
      <c r="D160" s="8">
        <f t="shared" ref="D160:O160" si="9">IFERROR(SUM(D156:D159), 0)</f>
        <v>-344513.43242472148</v>
      </c>
      <c r="E160" s="8">
        <f t="shared" si="9"/>
        <v>142049.403486731</v>
      </c>
      <c r="F160" s="8">
        <f t="shared" si="9"/>
        <v>46109.806777182574</v>
      </c>
      <c r="G160" s="8">
        <f t="shared" si="9"/>
        <v>-106843.18540962008</v>
      </c>
      <c r="H160" s="8">
        <f t="shared" si="9"/>
        <v>-118077.9208219881</v>
      </c>
      <c r="I160" s="8">
        <f t="shared" si="9"/>
        <v>-105080.02575602476</v>
      </c>
      <c r="J160" s="8">
        <f t="shared" si="9"/>
        <v>22652.870237022213</v>
      </c>
      <c r="K160" s="8">
        <f t="shared" si="9"/>
        <v>86591.193690307191</v>
      </c>
      <c r="L160" s="8">
        <f t="shared" si="9"/>
        <v>-58606.026210244388</v>
      </c>
      <c r="M160" s="8">
        <f t="shared" si="9"/>
        <v>-165385.31325782393</v>
      </c>
      <c r="N160" s="8">
        <f t="shared" si="9"/>
        <v>148083.85430029524</v>
      </c>
      <c r="O160" s="8">
        <f t="shared" si="9"/>
        <v>115611.63693702522</v>
      </c>
      <c r="Q160" s="8">
        <f>IFERROR(SUM(Q156:Q159), 0)</f>
        <v>-337405.39281971438</v>
      </c>
    </row>
    <row r="161" spans="1:17" ht="15" thickTop="1" x14ac:dyDescent="0.3">
      <c r="A161" s="5"/>
      <c r="C161" s="5"/>
      <c r="D161" s="4">
        <f t="shared" ref="D161:O161" si="10">IFERROR(D160/D10, 0)</f>
        <v>-1.5624318074981352</v>
      </c>
      <c r="E161" s="4">
        <f t="shared" si="10"/>
        <v>9.3486792555457832E-2</v>
      </c>
      <c r="F161" s="4">
        <f t="shared" si="10"/>
        <v>7.6777310228593132E-2</v>
      </c>
      <c r="G161" s="4">
        <f t="shared" si="10"/>
        <v>-0.18540994186159063</v>
      </c>
      <c r="H161" s="4">
        <f t="shared" si="10"/>
        <v>-0.38082321645374928</v>
      </c>
      <c r="I161" s="4">
        <f t="shared" si="10"/>
        <v>-0.20575642775447683</v>
      </c>
      <c r="J161" s="4">
        <f t="shared" si="10"/>
        <v>1.1160918694275008E-2</v>
      </c>
      <c r="K161" s="4">
        <f t="shared" si="10"/>
        <v>0.1343740785133351</v>
      </c>
      <c r="L161" s="4">
        <f t="shared" si="10"/>
        <v>-0.12934371701411024</v>
      </c>
      <c r="M161" s="4">
        <f t="shared" si="10"/>
        <v>-0.37826479802622459</v>
      </c>
      <c r="N161" s="4">
        <f t="shared" si="10"/>
        <v>0.34992368492634551</v>
      </c>
      <c r="O161" s="4">
        <f t="shared" si="10"/>
        <v>0.38861054432613518</v>
      </c>
      <c r="P161" s="18"/>
      <c r="Q161" s="4">
        <f>IFERROR(Q160/Q10, 0)</f>
        <v>-4.2056785405501916E-2</v>
      </c>
    </row>
    <row r="162" spans="1:17" x14ac:dyDescent="0.3">
      <c r="A162" s="5"/>
      <c r="B162" s="28">
        <v>44575.850673148147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3">
      <c r="A163" s="5"/>
      <c r="B163" s="26" t="s">
        <v>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  <row r="164" spans="1:17" x14ac:dyDescent="0.3">
      <c r="A164" s="5"/>
      <c r="B164" s="3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Q164" s="13"/>
    </row>
    <row r="165" spans="1:17" x14ac:dyDescent="0.3"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Q16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256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1512794.4499999997</v>
      </c>
      <c r="F10" s="3">
        <f>SUM(OSRRefD11x_2)</f>
        <v>584452.64000000013</v>
      </c>
      <c r="G10" s="3">
        <f>SUM(OSRRefD11x_3)</f>
        <v>550423.75999999989</v>
      </c>
      <c r="H10" s="3">
        <f>SUM(OSRRefD11x_4)</f>
        <v>294738.4800000001</v>
      </c>
      <c r="I10" s="3">
        <f>SUM(OSRRefD11x_5)</f>
        <v>498222.84000000008</v>
      </c>
      <c r="J10" s="3">
        <f>SUM(OSRRefE11x_0)</f>
        <v>1994234</v>
      </c>
      <c r="K10" s="3">
        <f>SUM(OSRRefE11x_1)</f>
        <v>547822</v>
      </c>
      <c r="L10" s="3">
        <f>SUM(OSRRefE11x_2)</f>
        <v>360649</v>
      </c>
      <c r="M10" s="3">
        <f>SUM(OSRRefE11x_3)</f>
        <v>353142</v>
      </c>
      <c r="N10" s="3">
        <f>SUM(OSRRefE11x_4)</f>
        <v>380419</v>
      </c>
      <c r="O10" s="3">
        <f>SUM(OSRRefE11x_5)</f>
        <v>284475</v>
      </c>
      <c r="P10" s="24"/>
      <c r="Q10" s="3">
        <f>SUM(OSRRefG11x)</f>
        <v>7581871.3900000006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--188048.33</f>
        <v>188048.33</v>
      </c>
      <c r="E11" s="2">
        <f>--1219418.38</f>
        <v>1219418.3799999999</v>
      </c>
      <c r="F11" s="2">
        <f>--483885.87</f>
        <v>483885.87</v>
      </c>
      <c r="G11" s="2">
        <f>--478161.62</f>
        <v>478161.62</v>
      </c>
      <c r="H11" s="2">
        <f>--262588.59</f>
        <v>262588.59000000003</v>
      </c>
      <c r="I11" s="2">
        <f>--480652.92</f>
        <v>480652.92</v>
      </c>
      <c r="J11" s="2">
        <v>1967158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6814492.71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--39098.54</f>
        <v>39098.54</v>
      </c>
      <c r="E12" s="2">
        <f>--326801.82</f>
        <v>326801.82</v>
      </c>
      <c r="F12" s="2">
        <f>--121098.02</f>
        <v>121098.02</v>
      </c>
      <c r="G12" s="2">
        <f>--107456.48</f>
        <v>107456.48</v>
      </c>
      <c r="H12" s="2">
        <f>--49477.97</f>
        <v>49477.97</v>
      </c>
      <c r="I12" s="2">
        <f>--83046.11</f>
        <v>83046.11</v>
      </c>
      <c r="J12" s="2">
        <v>27076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945982.94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I14" si="0">0</f>
        <v>0</v>
      </c>
      <c r="I13" s="2">
        <f t="shared" si="0"/>
        <v>0</v>
      </c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-5566.27</f>
        <v>-5566.27</v>
      </c>
      <c r="E15" s="2">
        <f>-20240.57</f>
        <v>-20240.57</v>
      </c>
      <c r="F15" s="2">
        <f>-22646.07</f>
        <v>-22646.07</v>
      </c>
      <c r="G15" s="2">
        <f>-13940.06</f>
        <v>-13940.06</v>
      </c>
      <c r="H15" s="2">
        <f>-10145.23</f>
        <v>-10145.23</v>
      </c>
      <c r="I15" s="2">
        <f>-14880.61</f>
        <v>-14880.61</v>
      </c>
      <c r="J15" s="2"/>
      <c r="K15" s="2"/>
      <c r="L15" s="2"/>
      <c r="M15" s="2"/>
      <c r="N15" s="2"/>
      <c r="O15" s="2"/>
      <c r="Q15" s="2">
        <f>SUM(OSRRefD11_4x)+IFERROR(SUM(OSRRefE11_4x),0)</f>
        <v>-87418.81</v>
      </c>
    </row>
    <row r="16" spans="1:18" s="9" customFormat="1" hidden="1" outlineLevel="1" x14ac:dyDescent="0.3">
      <c r="A16" s="23"/>
      <c r="B16" s="10" t="str">
        <f>CONCATENATE("          ","4300", " - ","NON-TAX RETURNS")</f>
        <v xml:space="preserve">          4300 - NON-TAX RETURNS</v>
      </c>
      <c r="C16" s="22"/>
      <c r="D16" s="2">
        <f>-1102.58</f>
        <v>-1102.58</v>
      </c>
      <c r="E16" s="2">
        <f>-16288.08</f>
        <v>-16288.08</v>
      </c>
      <c r="F16" s="2">
        <f>-2715.58</f>
        <v>-2715.58</v>
      </c>
      <c r="G16" s="2">
        <f>-5693.23</f>
        <v>-5693.23</v>
      </c>
      <c r="H16" s="2">
        <f>-700.92</f>
        <v>-700.92</v>
      </c>
      <c r="I16" s="2">
        <f>-678.95</f>
        <v>-678.95</v>
      </c>
      <c r="J16" s="2"/>
      <c r="K16" s="2"/>
      <c r="L16" s="2"/>
      <c r="M16" s="2"/>
      <c r="N16" s="2"/>
      <c r="O16" s="2"/>
      <c r="Q16" s="2">
        <f>SUM(OSRRefD11_5x)+IFERROR(SUM(OSRRefE11_5x),0)</f>
        <v>-27179.339999999997</v>
      </c>
    </row>
    <row r="17" spans="1:17" s="9" customFormat="1" hidden="1" outlineLevel="1" x14ac:dyDescent="0.3">
      <c r="A17" s="23"/>
      <c r="B17" s="10" t="str">
        <f>CONCATENATE("          ","4500", " - ","SALES DISCOUNT")</f>
        <v xml:space="preserve">          4500 - SALES DISCOUNT</v>
      </c>
      <c r="C17" s="22"/>
      <c r="D17" s="2">
        <f t="shared" ref="D17:F17" si="1">0</f>
        <v>0</v>
      </c>
      <c r="E17" s="2">
        <f t="shared" si="1"/>
        <v>0</v>
      </c>
      <c r="F17" s="2">
        <f t="shared" si="1"/>
        <v>0</v>
      </c>
      <c r="G17" s="2">
        <f>-7607.55</f>
        <v>-7607.55</v>
      </c>
      <c r="H17" s="2">
        <f>-6481.93</f>
        <v>-6481.93</v>
      </c>
      <c r="I17" s="2">
        <f>-49916.63</f>
        <v>-49916.63</v>
      </c>
      <c r="J17" s="2"/>
      <c r="K17" s="2"/>
      <c r="L17" s="2"/>
      <c r="M17" s="2"/>
      <c r="N17" s="2"/>
      <c r="O17" s="2"/>
      <c r="Q17" s="2">
        <f>SUM(OSRRefD11_6x)+IFERROR(SUM(OSRRefE11_6x),0)</f>
        <v>-64006.11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3"/>
      <c r="B19" s="16" t="s">
        <v>218</v>
      </c>
      <c r="C19" s="22"/>
      <c r="D19" s="3">
        <f>SUM(OSRRefD14x_0)</f>
        <v>127421.44</v>
      </c>
      <c r="E19" s="3">
        <f>SUM(OSRRefD14x_1)</f>
        <v>992337.97</v>
      </c>
      <c r="F19" s="3">
        <f>SUM(OSRRefD14x_2)</f>
        <v>385312.29</v>
      </c>
      <c r="G19" s="3">
        <f>SUM(OSRRefD14x_3)</f>
        <v>310679.2</v>
      </c>
      <c r="H19" s="3">
        <f>SUM(OSRRefD14x_4)</f>
        <v>138076.09</v>
      </c>
      <c r="I19" s="3">
        <f>SUM(OSRRefD14x_5)</f>
        <v>258095.33999999997</v>
      </c>
      <c r="J19" s="3">
        <f>SUM(OSRRefE14x_0)</f>
        <v>1312133</v>
      </c>
      <c r="K19" s="3">
        <f>SUM(OSRRefE14x_1)</f>
        <v>298117</v>
      </c>
      <c r="L19" s="3">
        <f>SUM(OSRRefE14x_2)</f>
        <v>158564</v>
      </c>
      <c r="M19" s="3">
        <f>SUM(OSRRefE14x_3)</f>
        <v>156898</v>
      </c>
      <c r="N19" s="3">
        <f>SUM(OSRRefE14x_4)</f>
        <v>178852</v>
      </c>
      <c r="O19" s="3">
        <f>SUM(OSRRefE14x_5)</f>
        <v>150517</v>
      </c>
      <c r="Q19" s="3">
        <f>SUM(OSRRefG14x)</f>
        <v>4467003.330000001</v>
      </c>
    </row>
    <row r="20" spans="1:17" s="9" customFormat="1" hidden="1" outlineLevel="1" x14ac:dyDescent="0.3">
      <c r="A20" s="23"/>
      <c r="B20" s="10" t="str">
        <f>CONCATENATE("          ","5000", " - ","PURCHASES @ COST")</f>
        <v xml:space="preserve">          5000 - PURCHASES @ COST</v>
      </c>
      <c r="C20" s="22"/>
      <c r="D20" s="2">
        <v>344773.67</v>
      </c>
      <c r="E20" s="2">
        <v>500180.97</v>
      </c>
      <c r="F20" s="2">
        <v>726303.95</v>
      </c>
      <c r="G20" s="2">
        <v>744878.53</v>
      </c>
      <c r="H20" s="2">
        <v>-67930.34</v>
      </c>
      <c r="I20" s="2">
        <v>283717.63</v>
      </c>
      <c r="J20" s="2">
        <v>1312133</v>
      </c>
      <c r="K20" s="2">
        <v>298117</v>
      </c>
      <c r="L20" s="2">
        <v>158564</v>
      </c>
      <c r="M20" s="2">
        <v>156898</v>
      </c>
      <c r="N20" s="2">
        <v>178852</v>
      </c>
      <c r="O20" s="2">
        <v>150517</v>
      </c>
      <c r="Q20" s="2">
        <f>SUM(OSRRefD14_0x)+IFERROR(SUM(OSRRefE14_0x),0)</f>
        <v>4787005.41</v>
      </c>
    </row>
    <row r="21" spans="1:17" s="9" customFormat="1" hidden="1" outlineLevel="1" x14ac:dyDescent="0.3">
      <c r="A21" s="23"/>
      <c r="B21" s="10" t="str">
        <f>CONCATENATE("          ","5001", " - ","PURCHASES @ COST-NEW TEXT")</f>
        <v xml:space="preserve">          5001 - PURCHASES @ COST-NEW TEXT</v>
      </c>
      <c r="C21" s="22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3"/>
      <c r="B22" s="10" t="str">
        <f>CONCATENATE("          ","5002", " - ","PURCHASES @ COST-USED TEXT")</f>
        <v xml:space="preserve">          5002 - PURCHASES @ COST-USED TEXT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3"/>
      <c r="B23" s="10" t="str">
        <f>CONCATENATE("          ","5004", " - ","PURCHASES @ COST-DIGITAL TEXT")</f>
        <v xml:space="preserve">          5004 - PURCHASES @ COST-DIGITAL TEXT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3"/>
      <c r="B24" s="10" t="str">
        <f>CONCATENATE("          ","5026", " - ","PURCHASES @ COST-WRITING INSTR")</f>
        <v xml:space="preserve">          5026 - PURCHASES @ COST-WRITING INSTR</v>
      </c>
      <c r="C24" s="22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3"/>
      <c r="B25" s="10" t="str">
        <f>CONCATENATE("          ","5027", " - ","PURCHASES @ COST-SCHOOL SUPPLI")</f>
        <v xml:space="preserve">          5027 - PURCHASES @ COST-SCHOOL SUPPLI</v>
      </c>
      <c r="C25" s="22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3"/>
      <c r="B26" s="10" t="str">
        <f>CONCATENATE("          ","5028", " - ","PURCHASES @ COST-ART/TECH")</f>
        <v xml:space="preserve">          5028 - PURCHASES @ COST-ART/TECH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3"/>
      <c r="B27" s="10" t="str">
        <f>CONCATENATE("          ","5031", " - ","PURCHASES @ COST-FOOD")</f>
        <v xml:space="preserve">          5031 - PURCHASES @ COST-FOOD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3"/>
      <c r="B28" s="10" t="str">
        <f>CONCATENATE("          ","5040", " - ","PURCHASES @ COST-LOGO CLOTHING")</f>
        <v xml:space="preserve">          5040 - PURCHASES @ COST-LOGO CLOTHING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3"/>
      <c r="B29" s="10" t="str">
        <f>CONCATENATE("          ","5041", " - ","PURCHASES @ COST-LOGO GIFTS")</f>
        <v xml:space="preserve">          5041 - PURCHASES @ COST-LOGO GIFTS</v>
      </c>
      <c r="C29" s="22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3"/>
      <c r="B30" s="10" t="str">
        <f>CONCATENATE("          ","5042", " - ","PURCHASES @ COST-EVERYDAY GIFT")</f>
        <v xml:space="preserve">          5042 - PURCHASES @ COST-EVERYDAY GIFT</v>
      </c>
      <c r="C30" s="22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3"/>
      <c r="B31" s="10" t="str">
        <f>CONCATENATE("          ","5043", " - ","PURCHASES @ COST-CARDS")</f>
        <v xml:space="preserve">          5043 - PURCHASES @ COST-CARDS</v>
      </c>
      <c r="C31" s="22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3"/>
      <c r="B32" s="10" t="str">
        <f>CONCATENATE("          ","5044", " - ","PURCHASES @ COST-ACCESSORIES")</f>
        <v xml:space="preserve">          5044 - PURCHASES @ COST-ACCESSORIES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3"/>
      <c r="B33" s="10" t="str">
        <f>CONCATENATE("          ","5045", " - ","PURCHASES @ COST-SPECIAL ORDER")</f>
        <v xml:space="preserve">          5045 - PURCHASES @ COST-SPECIAL ORDER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3"/>
      <c r="B34" s="10" t="str">
        <f>CONCATENATE("          ","5200", " - ","PURCHASES OFFSET")</f>
        <v xml:space="preserve">          5200 - PURCHASES OFFSET</v>
      </c>
      <c r="C34" s="22"/>
      <c r="D34" s="2">
        <v>-346348.67</v>
      </c>
      <c r="E34" s="2">
        <v>-303819.98</v>
      </c>
      <c r="F34" s="2">
        <v>-697456.98</v>
      </c>
      <c r="G34" s="2">
        <v>-764729.36</v>
      </c>
      <c r="H34" s="2">
        <v>57137.78</v>
      </c>
      <c r="I34" s="2">
        <v>-295778.33</v>
      </c>
      <c r="J34" s="2"/>
      <c r="K34" s="2"/>
      <c r="L34" s="2"/>
      <c r="M34" s="2"/>
      <c r="N34" s="2"/>
      <c r="O34" s="2"/>
      <c r="Q34" s="2">
        <f>SUM(OSRRefD14_14x)+IFERROR(SUM(OSRRefE14_14x),0)</f>
        <v>-2350995.5399999996</v>
      </c>
    </row>
    <row r="35" spans="1:17" s="9" customFormat="1" hidden="1" outlineLevel="1" x14ac:dyDescent="0.3">
      <c r="A35" s="23"/>
      <c r="B35" s="10" t="str">
        <f>CONCATENATE("          ","5300", " - ","COG$ OFFSET")</f>
        <v xml:space="preserve">          5300 - COG$ OFFSET</v>
      </c>
      <c r="C35" s="22"/>
      <c r="D35" s="2">
        <v>125411.41</v>
      </c>
      <c r="E35" s="2">
        <v>789387.34</v>
      </c>
      <c r="F35" s="2">
        <v>339299.2</v>
      </c>
      <c r="G35" s="2">
        <v>308234.86</v>
      </c>
      <c r="H35" s="2">
        <v>137747.54999999999</v>
      </c>
      <c r="I35" s="2">
        <v>260630.8</v>
      </c>
      <c r="J35" s="2"/>
      <c r="K35" s="2"/>
      <c r="L35" s="2"/>
      <c r="M35" s="2"/>
      <c r="N35" s="2"/>
      <c r="O35" s="2"/>
      <c r="Q35" s="2">
        <f>SUM(OSRRefD14_15x)+IFERROR(SUM(OSRRefE14_15x),0)</f>
        <v>1960711.1600000001</v>
      </c>
    </row>
    <row r="36" spans="1:17" s="9" customFormat="1" hidden="1" outlineLevel="1" x14ac:dyDescent="0.3">
      <c r="A36" s="23"/>
      <c r="B36" s="10" t="str">
        <f>CONCATENATE("          ","5500", " - ","FREIGHT-IN")</f>
        <v xml:space="preserve">          5500 - FREIGHT-IN</v>
      </c>
      <c r="C36" s="22"/>
      <c r="D36" s="2">
        <v>3585.03</v>
      </c>
      <c r="E36" s="2">
        <v>6589.64</v>
      </c>
      <c r="F36" s="2">
        <v>17166.12</v>
      </c>
      <c r="G36" s="2">
        <v>22295.17</v>
      </c>
      <c r="H36" s="2">
        <v>11121.1</v>
      </c>
      <c r="I36" s="2">
        <v>9525.24</v>
      </c>
      <c r="J36" s="2"/>
      <c r="K36" s="2"/>
      <c r="L36" s="2"/>
      <c r="M36" s="2"/>
      <c r="N36" s="2"/>
      <c r="O36" s="2"/>
      <c r="Q36" s="2">
        <f>SUM(OSRRefD14_16x)+IFERROR(SUM(OSRRefE14_16x),0)</f>
        <v>70282.3</v>
      </c>
    </row>
    <row r="37" spans="1:17" s="9" customFormat="1" hidden="1" outlineLevel="1" x14ac:dyDescent="0.3">
      <c r="A37" s="23"/>
      <c r="B37" s="10" t="str">
        <f>CONCATENATE("          ","5501", " - ","FREIGHT-IN-NEW TEXT")</f>
        <v xml:space="preserve">          5501 - FREIGHT-IN-NEW TEXT</v>
      </c>
      <c r="C37" s="22"/>
      <c r="D37" s="2">
        <v>0</v>
      </c>
      <c r="E37" s="2">
        <v>0</v>
      </c>
      <c r="F37" s="2">
        <v>0</v>
      </c>
      <c r="G37" s="2">
        <v>0</v>
      </c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3">
      <c r="A38" s="23"/>
      <c r="B38" s="10" t="str">
        <f>CONCATENATE("          ","5502", " - ","FREIGHT-IN-USED TEXT")</f>
        <v xml:space="preserve">          5502 - FREIGHT-IN-USED TEXT</v>
      </c>
      <c r="C38" s="22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3">
      <c r="A39" s="23"/>
      <c r="B39" s="10" t="str">
        <f>CONCATENATE("          ","5518", " - ","FREIGHT-IN-STUDY GUIDES")</f>
        <v xml:space="preserve">          5518 - FREIGHT-IN-STUDY GUIDES</v>
      </c>
      <c r="C39" s="22"/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SUM(OSRRefD14_19x)+IFERROR(SUM(OSRRefE14_19x),0)</f>
        <v>0</v>
      </c>
    </row>
    <row r="40" spans="1:17" s="9" customFormat="1" hidden="1" outlineLevel="1" x14ac:dyDescent="0.3">
      <c r="A40" s="23"/>
      <c r="B40" s="10" t="str">
        <f>CONCATENATE("          ","5527", " - ","FREIGHT-IN-SCHOOL SUPPLIES")</f>
        <v xml:space="preserve">          5527 - FREIGHT-IN-SCHOOL SUPPLIES</v>
      </c>
      <c r="C40" s="22"/>
      <c r="D40" s="2"/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SUM(OSRRefD14_20x)+IFERROR(SUM(OSRRefE14_20x),0)</f>
        <v>0</v>
      </c>
    </row>
    <row r="41" spans="1:17" s="9" customFormat="1" hidden="1" outlineLevel="1" x14ac:dyDescent="0.3">
      <c r="A41" s="23"/>
      <c r="B41" s="10" t="str">
        <f>CONCATENATE("          ","5528", " - ","FREIGHT-IN-ART/TECH")</f>
        <v xml:space="preserve">          5528 - FREIGHT-IN-ART/TECH</v>
      </c>
      <c r="C41" s="22"/>
      <c r="D41" s="2"/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SUM(OSRRefD14_21x)+IFERROR(SUM(OSRRefE14_21x),0)</f>
        <v>0</v>
      </c>
    </row>
    <row r="42" spans="1:17" s="9" customFormat="1" hidden="1" outlineLevel="1" x14ac:dyDescent="0.3">
      <c r="A42" s="23"/>
      <c r="B42" s="10" t="str">
        <f>CONCATENATE("          ","5540", " - ","FREIGHT-IN-LOGO CLOTHING")</f>
        <v xml:space="preserve">          5540 - FREIGHT-IN-LOGO CLOTHING</v>
      </c>
      <c r="C42" s="22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3"/>
      <c r="B43" s="10" t="str">
        <f>CONCATENATE("          ","5541", " - ","FREIGHT-IN-LOGO GIFTS")</f>
        <v xml:space="preserve">          5541 - FREIGHT-IN-LOGO GIFTS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3"/>
      <c r="B44" s="10" t="str">
        <f>CONCATENATE("          ","5542", " - ","FREIGHT-IN-EVERYDAY GIFTS")</f>
        <v xml:space="preserve">          5542 - FREIGHT-IN-EVERYDAY GIFTS</v>
      </c>
      <c r="C44" s="22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3"/>
      <c r="B45" s="10" t="str">
        <f>CONCATENATE("          ","5544", " - ","FREIGHT-IN-ACCESSORIES")</f>
        <v xml:space="preserve">          5544 - FREIGHT-IN-ACCESSORIES</v>
      </c>
      <c r="C45" s="22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3"/>
      <c r="B46" s="10" t="str">
        <f>CONCATENATE("          ","5545", " - ","FREIGHT-IN-SPECIAL ORDERS")</f>
        <v xml:space="preserve">          5545 - FREIGHT-IN-SPECIAL ORDERS</v>
      </c>
      <c r="C46" s="22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x14ac:dyDescent="0.3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3">
      <c r="A48" s="6"/>
      <c r="B48" s="17" t="s">
        <v>105</v>
      </c>
      <c r="C48" s="17"/>
      <c r="D48" s="7">
        <f t="shared" ref="D48:O48" si="2">IFERROR(+D10-D19, 0)</f>
        <v>93076.780000000028</v>
      </c>
      <c r="E48" s="7">
        <f t="shared" si="2"/>
        <v>520456.47999999975</v>
      </c>
      <c r="F48" s="7">
        <f t="shared" si="2"/>
        <v>199140.35000000015</v>
      </c>
      <c r="G48" s="7">
        <f t="shared" si="2"/>
        <v>239744.55999999988</v>
      </c>
      <c r="H48" s="7">
        <f t="shared" si="2"/>
        <v>156662.3900000001</v>
      </c>
      <c r="I48" s="7">
        <f t="shared" si="2"/>
        <v>240127.50000000012</v>
      </c>
      <c r="J48" s="7">
        <f t="shared" si="2"/>
        <v>682101</v>
      </c>
      <c r="K48" s="7">
        <f t="shared" si="2"/>
        <v>249705</v>
      </c>
      <c r="L48" s="7">
        <f t="shared" si="2"/>
        <v>202085</v>
      </c>
      <c r="M48" s="7">
        <f t="shared" si="2"/>
        <v>196244</v>
      </c>
      <c r="N48" s="7">
        <f t="shared" si="2"/>
        <v>201567</v>
      </c>
      <c r="O48" s="7">
        <f t="shared" si="2"/>
        <v>133958</v>
      </c>
      <c r="Q48" s="7">
        <f>IFERROR(+Q10-Q19, 0)</f>
        <v>3114868.0599999996</v>
      </c>
    </row>
    <row r="49" spans="1:17" s="6" customFormat="1" x14ac:dyDescent="0.3">
      <c r="B49" s="16"/>
      <c r="C49" s="16"/>
      <c r="D49" s="4">
        <f t="shared" ref="D49:O49" si="3">IFERROR(D48/D10, 0)</f>
        <v>0.42212032369240904</v>
      </c>
      <c r="E49" s="4">
        <f t="shared" si="3"/>
        <v>0.34403648162511424</v>
      </c>
      <c r="F49" s="4">
        <f t="shared" si="3"/>
        <v>0.34072966117494158</v>
      </c>
      <c r="G49" s="4">
        <f t="shared" si="3"/>
        <v>0.43556361011741196</v>
      </c>
      <c r="H49" s="4">
        <f t="shared" si="3"/>
        <v>0.53153015513956658</v>
      </c>
      <c r="I49" s="4">
        <f t="shared" si="3"/>
        <v>0.48196806874610582</v>
      </c>
      <c r="J49" s="4">
        <f t="shared" si="3"/>
        <v>0.34203659149327509</v>
      </c>
      <c r="K49" s="4">
        <f t="shared" si="3"/>
        <v>0.45581411480371359</v>
      </c>
      <c r="L49" s="4">
        <f t="shared" si="3"/>
        <v>0.5603370590241481</v>
      </c>
      <c r="M49" s="4">
        <f t="shared" si="3"/>
        <v>0.55570846854806277</v>
      </c>
      <c r="N49" s="4">
        <f t="shared" si="3"/>
        <v>0.52985523856589711</v>
      </c>
      <c r="O49" s="4">
        <f t="shared" si="3"/>
        <v>0.47089550927146501</v>
      </c>
      <c r="P49" s="18"/>
      <c r="Q49" s="4">
        <f>IFERROR(Q48/Q10, 0)</f>
        <v>0.4108310336295482</v>
      </c>
    </row>
    <row r="50" spans="1:17" x14ac:dyDescent="0.3">
      <c r="A50" s="5"/>
      <c r="B50" s="6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15" customFormat="1" x14ac:dyDescent="0.3">
      <c r="A51" s="6"/>
      <c r="B51" s="16" t="s">
        <v>255</v>
      </c>
      <c r="C51" s="6"/>
      <c r="D51" s="12">
        <f>SUM(OSRRefD20x_0)</f>
        <v>363430.32999999996</v>
      </c>
      <c r="E51" s="12">
        <f>SUM(OSRRefD20x_1)</f>
        <v>339962.49999999994</v>
      </c>
      <c r="F51" s="12">
        <f>SUM(OSRRefD20x_2)</f>
        <v>291858.15999999997</v>
      </c>
      <c r="G51" s="12">
        <f>SUM(OSRRefD20x_3)</f>
        <v>331202.60000000003</v>
      </c>
      <c r="H51" s="12">
        <f>SUM(OSRRefD20x_4)</f>
        <v>264883.31999999995</v>
      </c>
      <c r="I51" s="12">
        <f>SUM(OSRRefD20x_5)</f>
        <v>276339.46000000002</v>
      </c>
      <c r="J51" s="12">
        <f>SUM(OSRRefE20x_0)</f>
        <v>437516.66225425637</v>
      </c>
      <c r="K51" s="12">
        <f>SUM(OSRRefE20x_1)</f>
        <v>322473.10071625508</v>
      </c>
      <c r="L51" s="12">
        <f>SUM(OSRRefE20x_2)</f>
        <v>277280.61917775508</v>
      </c>
      <c r="M51" s="12">
        <f>SUM(OSRRefE20x_3)</f>
        <v>326852.95639075642</v>
      </c>
      <c r="N51" s="12">
        <f>SUM(OSRRefE20x_4)</f>
        <v>284416.80103275506</v>
      </c>
      <c r="O51" s="12">
        <f>SUM(OSRRefE20x_5)</f>
        <v>278741.20626640506</v>
      </c>
      <c r="Q51" s="12">
        <f>SUM(OSRRefG20x)</f>
        <v>3794957.7158381832</v>
      </c>
    </row>
    <row r="52" spans="1:17" s="35" customFormat="1" collapsed="1" x14ac:dyDescent="0.3">
      <c r="A52" s="34"/>
      <c r="B52" s="14" t="str">
        <f>CONCATENATE("     ","*Benefits                                         ")</f>
        <v xml:space="preserve">     *Benefits                                         </v>
      </c>
      <c r="C52" s="14"/>
      <c r="D52" s="1">
        <f>SUM(OSRRefD21_0x_0)</f>
        <v>47426.359999999993</v>
      </c>
      <c r="E52" s="1">
        <f>SUM(OSRRefD21_0x_1)</f>
        <v>52095.850000000006</v>
      </c>
      <c r="F52" s="1">
        <f>SUM(OSRRefD21_0x_2)</f>
        <v>46090.750000000007</v>
      </c>
      <c r="G52" s="1">
        <f>SUM(OSRRefD21_0x_3)</f>
        <v>60225.909999999996</v>
      </c>
      <c r="H52" s="1">
        <f>SUM(OSRRefD21_0x_4)</f>
        <v>51237.49</v>
      </c>
      <c r="I52" s="1">
        <f>SUM(OSRRefD21_0x_5)</f>
        <v>44141.39</v>
      </c>
      <c r="J52" s="1">
        <f>SUM(OSRRefE21_0x_0)</f>
        <v>55451.565374612182</v>
      </c>
      <c r="K52" s="1">
        <f>SUM(OSRRefE21_0x_1)</f>
        <v>43691.786307539791</v>
      </c>
      <c r="L52" s="1">
        <f>SUM(OSRRefE21_0x_2)</f>
        <v>43135.526219039784</v>
      </c>
      <c r="M52" s="1">
        <f>SUM(OSRRefE21_0x_3)</f>
        <v>50484.811711112183</v>
      </c>
      <c r="N52" s="1">
        <f>SUM(OSRRefE21_0x_4)</f>
        <v>43414.506824039781</v>
      </c>
      <c r="O52" s="1">
        <f>SUM(OSRRefE21_0x_5)</f>
        <v>42674.929032689783</v>
      </c>
      <c r="Q52" s="2">
        <f>SUM(OSRRefD20_0x)+IFERROR(SUM(OSRRefE20_0x),0)</f>
        <v>580070.87546903349</v>
      </c>
    </row>
    <row r="53" spans="1:17" s="35" customFormat="1" hidden="1" outlineLevel="1" x14ac:dyDescent="0.3">
      <c r="A53" s="34"/>
      <c r="B53" s="10" t="str">
        <f>CONCATENATE("          ","6111", " - ","F.I.C.A.")</f>
        <v xml:space="preserve">          6111 - F.I.C.A.</v>
      </c>
      <c r="C53" s="14"/>
      <c r="D53" s="2">
        <v>9628.01</v>
      </c>
      <c r="E53" s="2">
        <v>12320.03</v>
      </c>
      <c r="F53" s="2">
        <v>7599.49</v>
      </c>
      <c r="G53" s="2">
        <v>10663.18</v>
      </c>
      <c r="H53" s="2">
        <v>8839.07</v>
      </c>
      <c r="I53" s="2">
        <v>6766.94</v>
      </c>
      <c r="J53" s="2">
        <v>12262.650643840099</v>
      </c>
      <c r="K53" s="2">
        <v>9084.0804050720799</v>
      </c>
      <c r="L53" s="2">
        <v>9003.9075770720792</v>
      </c>
      <c r="M53" s="2">
        <v>11212.2725673401</v>
      </c>
      <c r="N53" s="2">
        <v>9003.9075770720792</v>
      </c>
      <c r="O53" s="2">
        <v>8661.0057284720806</v>
      </c>
      <c r="P53" s="9"/>
      <c r="Q53" s="2">
        <f>SUM(OSRRefD21_0_0x)+IFERROR(SUM(OSRRefE21_0_0x),0)</f>
        <v>115044.54449886852</v>
      </c>
    </row>
    <row r="54" spans="1:17" s="35" customFormat="1" hidden="1" outlineLevel="1" x14ac:dyDescent="0.3">
      <c r="A54" s="34"/>
      <c r="B54" s="10" t="str">
        <f>CONCATENATE("          ","6112", " - ","COMPENSATION INSURANCE")</f>
        <v xml:space="preserve">          6112 - COMPENSATION INSURANCE</v>
      </c>
      <c r="C54" s="14"/>
      <c r="D54" s="2">
        <v>1973.41</v>
      </c>
      <c r="E54" s="2">
        <v>2539.5500000000002</v>
      </c>
      <c r="F54" s="2">
        <v>2485.61</v>
      </c>
      <c r="G54" s="2">
        <v>3295.05</v>
      </c>
      <c r="H54" s="2">
        <v>2407.42</v>
      </c>
      <c r="I54" s="2">
        <v>2184.3000000000002</v>
      </c>
      <c r="J54" s="2">
        <v>4170.66179835</v>
      </c>
      <c r="K54" s="2">
        <v>2457.75367848</v>
      </c>
      <c r="L54" s="2">
        <v>2302.0521844800001</v>
      </c>
      <c r="M54" s="2">
        <v>2889.8345623499999</v>
      </c>
      <c r="N54" s="2">
        <v>2393.2911244799998</v>
      </c>
      <c r="O54" s="2">
        <v>2263.5606274800002</v>
      </c>
      <c r="P54" s="9"/>
      <c r="Q54" s="2">
        <f>SUM(OSRRefD21_0_1x)+IFERROR(SUM(OSRRefE21_0_1x),0)</f>
        <v>31362.49397562</v>
      </c>
    </row>
    <row r="55" spans="1:17" s="35" customFormat="1" hidden="1" outlineLevel="1" x14ac:dyDescent="0.3">
      <c r="A55" s="34"/>
      <c r="B55" s="10" t="str">
        <f>CONCATENATE("          ","6113", " - ","GROUP INSURANCE")</f>
        <v xml:space="preserve">          6113 - GROUP INSURANCE</v>
      </c>
      <c r="C55" s="14"/>
      <c r="D55" s="2">
        <v>17896.5</v>
      </c>
      <c r="E55" s="2">
        <v>17896.5</v>
      </c>
      <c r="F55" s="2">
        <v>17921.21</v>
      </c>
      <c r="G55" s="2">
        <v>18566.900000000001</v>
      </c>
      <c r="H55" s="2">
        <v>17975.22</v>
      </c>
      <c r="I55" s="2">
        <v>16550.71</v>
      </c>
      <c r="J55" s="2">
        <v>16784.1538461538</v>
      </c>
      <c r="K55" s="2">
        <v>15715.9230769231</v>
      </c>
      <c r="L55" s="2">
        <v>15715.9230769231</v>
      </c>
      <c r="M55" s="2">
        <v>16784.1538461538</v>
      </c>
      <c r="N55" s="2">
        <v>15715.9230769231</v>
      </c>
      <c r="O55" s="2">
        <v>15715.9230769231</v>
      </c>
      <c r="P55" s="9"/>
      <c r="Q55" s="2">
        <f>SUM(OSRRefD21_0_2x)+IFERROR(SUM(OSRRefE21_0_2x),0)</f>
        <v>203239.04000000001</v>
      </c>
    </row>
    <row r="56" spans="1:17" s="35" customFormat="1" hidden="1" outlineLevel="1" x14ac:dyDescent="0.3">
      <c r="A56" s="34"/>
      <c r="B56" s="10" t="str">
        <f>CONCATENATE("          ","6114", " - ","STATE UNEMPLOYMENT INSURANCE")</f>
        <v xml:space="preserve">          6114 - STATE UNEMPLOYMENT INSURANCE</v>
      </c>
      <c r="C56" s="14"/>
      <c r="D56" s="2">
        <v>357.53</v>
      </c>
      <c r="E56" s="2">
        <v>460.58</v>
      </c>
      <c r="F56" s="2">
        <v>449.18</v>
      </c>
      <c r="G56" s="2">
        <v>592.89</v>
      </c>
      <c r="H56" s="2">
        <v>432.61</v>
      </c>
      <c r="I56" s="2">
        <v>393.4</v>
      </c>
      <c r="J56" s="2">
        <v>561.43524208557596</v>
      </c>
      <c r="K56" s="2">
        <v>330.85145671846101</v>
      </c>
      <c r="L56" s="2">
        <v>309.89164021846199</v>
      </c>
      <c r="M56" s="2">
        <v>389.01619108557702</v>
      </c>
      <c r="N56" s="2">
        <v>322.17380521846201</v>
      </c>
      <c r="O56" s="2">
        <v>304.71008446846201</v>
      </c>
      <c r="P56" s="9"/>
      <c r="Q56" s="2">
        <f>SUM(OSRRefD21_0_3x)+IFERROR(SUM(OSRRefE21_0_3x),0)</f>
        <v>4904.2684197950002</v>
      </c>
    </row>
    <row r="57" spans="1:17" s="35" customFormat="1" hidden="1" outlineLevel="1" x14ac:dyDescent="0.3">
      <c r="A57" s="34"/>
      <c r="B57" s="10" t="str">
        <f>CONCATENATE("          ","6115", " - ","P.E.R.S.")</f>
        <v xml:space="preserve">          6115 - P.E.R.S.</v>
      </c>
      <c r="C57" s="14"/>
      <c r="D57" s="2">
        <v>6296.23</v>
      </c>
      <c r="E57" s="2">
        <v>6296.23</v>
      </c>
      <c r="F57" s="2">
        <v>6296.23</v>
      </c>
      <c r="G57" s="2">
        <v>9444.34</v>
      </c>
      <c r="H57" s="2">
        <v>8571.01</v>
      </c>
      <c r="I57" s="2">
        <v>5703.78</v>
      </c>
      <c r="J57" s="2">
        <v>5269.4978039807702</v>
      </c>
      <c r="K57" s="2">
        <v>4215.5982431846096</v>
      </c>
      <c r="L57" s="2">
        <v>4215.5982431846096</v>
      </c>
      <c r="M57" s="2">
        <v>5269.4978039807702</v>
      </c>
      <c r="N57" s="2">
        <v>4215.5982431846096</v>
      </c>
      <c r="O57" s="2">
        <v>4215.5982431846096</v>
      </c>
      <c r="P57" s="9"/>
      <c r="Q57" s="2">
        <f>SUM(OSRRefD21_0_4x)+IFERROR(SUM(OSRRefE21_0_4x),0)</f>
        <v>70009.208580699982</v>
      </c>
    </row>
    <row r="58" spans="1:17" s="35" customFormat="1" hidden="1" outlineLevel="1" x14ac:dyDescent="0.3">
      <c r="A58" s="34"/>
      <c r="B58" s="10" t="str">
        <f>CONCATENATE("          ","6116", " - ","EDUCATIONAL BENEFITS")</f>
        <v xml:space="preserve">          6116 - EDUCATIONAL BENEFITS</v>
      </c>
      <c r="C58" s="14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SUM(OSRRefD21_0_5x)+IFERROR(SUM(OSRRefE21_0_5x),0)</f>
        <v>0</v>
      </c>
    </row>
    <row r="59" spans="1:17" s="35" customFormat="1" hidden="1" outlineLevel="1" x14ac:dyDescent="0.3">
      <c r="A59" s="34"/>
      <c r="B59" s="10" t="str">
        <f>CONCATENATE("          ","6117", " - ","RETIREMENT STAFF HOURLY")</f>
        <v xml:space="preserve">          6117 - RETIREMENT STAFF HOURLY</v>
      </c>
      <c r="C59" s="14"/>
      <c r="D59" s="2">
        <v>552.85</v>
      </c>
      <c r="E59" s="2">
        <v>962.68</v>
      </c>
      <c r="F59" s="2">
        <v>424.12</v>
      </c>
      <c r="G59" s="2">
        <v>576.07000000000005</v>
      </c>
      <c r="H59" s="2">
        <v>588.41999999999996</v>
      </c>
      <c r="I59" s="2">
        <v>590.27</v>
      </c>
      <c r="J59" s="2"/>
      <c r="K59" s="2"/>
      <c r="L59" s="2"/>
      <c r="M59" s="2"/>
      <c r="N59" s="2"/>
      <c r="O59" s="2"/>
      <c r="P59" s="9"/>
      <c r="Q59" s="2">
        <f>SUM(OSRRefD21_0_6x)+IFERROR(SUM(OSRRefE21_0_6x),0)</f>
        <v>3694.4100000000003</v>
      </c>
    </row>
    <row r="60" spans="1:17" s="35" customFormat="1" hidden="1" outlineLevel="1" x14ac:dyDescent="0.3">
      <c r="A60" s="34"/>
      <c r="B60" s="10" t="str">
        <f>CONCATENATE("          ","6118", " - ","VACATION")</f>
        <v xml:space="preserve">          6118 - VACATION</v>
      </c>
      <c r="C60" s="14"/>
      <c r="D60" s="2">
        <v>5400.79</v>
      </c>
      <c r="E60" s="2">
        <v>5549.94</v>
      </c>
      <c r="F60" s="2">
        <v>4674.6000000000004</v>
      </c>
      <c r="G60" s="2">
        <v>7622.27</v>
      </c>
      <c r="H60" s="2">
        <v>5643.29</v>
      </c>
      <c r="I60" s="2">
        <v>5402.63</v>
      </c>
      <c r="J60" s="2">
        <v>4741.47971583654</v>
      </c>
      <c r="K60" s="2">
        <v>3793.1837726692302</v>
      </c>
      <c r="L60" s="2">
        <v>3793.1837726692302</v>
      </c>
      <c r="M60" s="2">
        <v>4741.47971583654</v>
      </c>
      <c r="N60" s="2">
        <v>3793.1837726692302</v>
      </c>
      <c r="O60" s="2">
        <v>3793.1837726692302</v>
      </c>
      <c r="P60" s="9"/>
      <c r="Q60" s="2">
        <f>SUM(OSRRefD21_0_7x)+IFERROR(SUM(OSRRefE21_0_7x),0)</f>
        <v>58949.214522349997</v>
      </c>
    </row>
    <row r="61" spans="1:17" s="35" customFormat="1" hidden="1" outlineLevel="1" x14ac:dyDescent="0.3">
      <c r="A61" s="34"/>
      <c r="B61" s="10" t="str">
        <f>CONCATENATE("          ","6119", " - ","SICK LEAVE")</f>
        <v xml:space="preserve">          6119 - SICK LEAVE</v>
      </c>
      <c r="C61" s="14"/>
      <c r="D61" s="2">
        <v>3886.05</v>
      </c>
      <c r="E61" s="2">
        <v>3886.05</v>
      </c>
      <c r="F61" s="2">
        <v>3898.37</v>
      </c>
      <c r="G61" s="2">
        <v>5499.11</v>
      </c>
      <c r="H61" s="2">
        <v>3805.28</v>
      </c>
      <c r="I61" s="2">
        <v>3805.28</v>
      </c>
      <c r="J61" s="2">
        <v>9386.6863243653897</v>
      </c>
      <c r="K61" s="2">
        <v>5819.3956744923098</v>
      </c>
      <c r="L61" s="2">
        <v>5519.9697244923</v>
      </c>
      <c r="M61" s="2">
        <v>6923.5570243653901</v>
      </c>
      <c r="N61" s="2">
        <v>5695.4292244922999</v>
      </c>
      <c r="O61" s="2">
        <v>5445.9474994923003</v>
      </c>
      <c r="P61" s="9"/>
      <c r="Q61" s="2">
        <f>SUM(OSRRefD21_0_8x)+IFERROR(SUM(OSRRefE21_0_8x),0)</f>
        <v>63571.12547169999</v>
      </c>
    </row>
    <row r="62" spans="1:17" s="35" customFormat="1" hidden="1" outlineLevel="1" x14ac:dyDescent="0.3">
      <c r="A62" s="34"/>
      <c r="B62" s="10" t="str">
        <f>CONCATENATE("          ","6156", " - ","EMPLOYEE MEALS")</f>
        <v xml:space="preserve">          6156 - EMPLOYEE MEALS</v>
      </c>
      <c r="C62" s="14"/>
      <c r="D62" s="2">
        <v>1434.99</v>
      </c>
      <c r="E62" s="2">
        <v>2184.29</v>
      </c>
      <c r="F62" s="2">
        <v>2341.94</v>
      </c>
      <c r="G62" s="2">
        <v>3966.1</v>
      </c>
      <c r="H62" s="2">
        <v>2975.17</v>
      </c>
      <c r="I62" s="2">
        <v>2744.08</v>
      </c>
      <c r="J62" s="2">
        <v>2275</v>
      </c>
      <c r="K62" s="2">
        <v>2275</v>
      </c>
      <c r="L62" s="2">
        <v>2275</v>
      </c>
      <c r="M62" s="2">
        <v>2275</v>
      </c>
      <c r="N62" s="2">
        <v>2275</v>
      </c>
      <c r="O62" s="2">
        <v>2275</v>
      </c>
      <c r="P62" s="9"/>
      <c r="Q62" s="2">
        <f>SUM(OSRRefD21_0_9x)+IFERROR(SUM(OSRRefE21_0_9x),0)</f>
        <v>29296.57</v>
      </c>
    </row>
    <row r="63" spans="1:17" s="35" customFormat="1" collapsed="1" x14ac:dyDescent="0.3">
      <c r="A63" s="34"/>
      <c r="B63" s="14" t="str">
        <f>CONCATENATE("     ","*Payroll                                          ")</f>
        <v xml:space="preserve">     *Payroll                                          </v>
      </c>
      <c r="C63" s="14"/>
      <c r="D63" s="1">
        <f>SUM(OSRRefD21_1x_0)</f>
        <v>166272.59000000003</v>
      </c>
      <c r="E63" s="1">
        <f>SUM(OSRRefD21_1x_1)</f>
        <v>186593.31999999998</v>
      </c>
      <c r="F63" s="1">
        <f>SUM(OSRRefD21_1x_2)</f>
        <v>158667.88</v>
      </c>
      <c r="G63" s="1">
        <f>SUM(OSRRefD21_1x_3)</f>
        <v>172006.66000000003</v>
      </c>
      <c r="H63" s="1">
        <f>SUM(OSRRefD21_1x_4)</f>
        <v>121390.19</v>
      </c>
      <c r="I63" s="1">
        <f>SUM(OSRRefD21_1x_5)</f>
        <v>149267.02000000002</v>
      </c>
      <c r="J63" s="1">
        <f>SUM(OSRRefE21_1x_0)</f>
        <v>259494.0968796442</v>
      </c>
      <c r="K63" s="1">
        <f>SUM(OSRRefE21_1x_1)</f>
        <v>150894.31440871529</v>
      </c>
      <c r="L63" s="1">
        <f>SUM(OSRRefE21_1x_2)</f>
        <v>140798.09295871528</v>
      </c>
      <c r="M63" s="1">
        <f>SUM(OSRRefE21_1x_3)</f>
        <v>176768.1446796442</v>
      </c>
      <c r="N63" s="1">
        <f>SUM(OSRRefE21_1x_4)</f>
        <v>146695.29420871529</v>
      </c>
      <c r="O63" s="1">
        <f>SUM(OSRRefE21_1x_5)</f>
        <v>138220.27723371529</v>
      </c>
      <c r="Q63" s="2">
        <f>SUM(OSRRefD20_1x)+IFERROR(SUM(OSRRefE20_1x),0)</f>
        <v>1967067.8803691496</v>
      </c>
    </row>
    <row r="64" spans="1:17" s="35" customFormat="1" hidden="1" outlineLevel="1" x14ac:dyDescent="0.3">
      <c r="A64" s="34"/>
      <c r="B64" s="10" t="str">
        <f>CONCATENATE("          ","6001", " - ","ADMINISTRATIVE SALARIES")</f>
        <v xml:space="preserve">          6001 - ADMINISTRATIVE SALARIES</v>
      </c>
      <c r="C64" s="14"/>
      <c r="D64" s="2">
        <v>5599.1</v>
      </c>
      <c r="E64" s="2">
        <v>4479.1000000000004</v>
      </c>
      <c r="F64" s="2">
        <v>4479.1000000000004</v>
      </c>
      <c r="G64" s="2">
        <v>4926.78</v>
      </c>
      <c r="H64" s="2">
        <v>4192.43</v>
      </c>
      <c r="I64" s="2">
        <v>4658.26</v>
      </c>
      <c r="J64" s="2">
        <v>5174.7596153846198</v>
      </c>
      <c r="K64" s="2">
        <v>4139.8076923076896</v>
      </c>
      <c r="L64" s="2">
        <v>4139.8076923076896</v>
      </c>
      <c r="M64" s="2">
        <v>5174.7596153846198</v>
      </c>
      <c r="N64" s="2">
        <v>4139.8076923076896</v>
      </c>
      <c r="O64" s="2">
        <v>4139.8076923076896</v>
      </c>
      <c r="P64" s="9"/>
      <c r="Q64" s="2">
        <f>SUM(OSRRefD21_1_0x)+IFERROR(SUM(OSRRefE21_1_0x),0)</f>
        <v>55243.519999999997</v>
      </c>
    </row>
    <row r="65" spans="1:17" s="35" customFormat="1" hidden="1" outlineLevel="1" x14ac:dyDescent="0.3">
      <c r="A65" s="34"/>
      <c r="B65" s="10" t="str">
        <f>CONCATENATE("          ","6002", " - ","STAFF SALARIES")</f>
        <v xml:space="preserve">          6002 - STAFF SALARIES</v>
      </c>
      <c r="C65" s="14"/>
      <c r="D65" s="2">
        <v>68536.740000000005</v>
      </c>
      <c r="E65" s="2">
        <v>58749.01</v>
      </c>
      <c r="F65" s="2">
        <v>59317.32</v>
      </c>
      <c r="G65" s="2">
        <v>62962.98</v>
      </c>
      <c r="H65" s="2">
        <v>39449.300000000003</v>
      </c>
      <c r="I65" s="2">
        <v>52623.72</v>
      </c>
      <c r="J65" s="2">
        <v>50084.255779259598</v>
      </c>
      <c r="K65" s="2">
        <v>40067.404623407601</v>
      </c>
      <c r="L65" s="2">
        <v>40067.404623407601</v>
      </c>
      <c r="M65" s="2">
        <v>50084.255779259598</v>
      </c>
      <c r="N65" s="2">
        <v>40067.404623407601</v>
      </c>
      <c r="O65" s="2">
        <v>40067.404623407601</v>
      </c>
      <c r="P65" s="9"/>
      <c r="Q65" s="2">
        <f>SUM(OSRRefD21_1_1x)+IFERROR(SUM(OSRRefE21_1_1x),0)</f>
        <v>602077.20005214971</v>
      </c>
    </row>
    <row r="66" spans="1:17" s="35" customFormat="1" hidden="1" outlineLevel="1" x14ac:dyDescent="0.3">
      <c r="A66" s="34"/>
      <c r="B66" s="10" t="str">
        <f>CONCATENATE("          ","6003", " - ","STAFF HOURLY-9 MONTH")</f>
        <v xml:space="preserve">          6003 - STAFF HOURLY-9 MONTH</v>
      </c>
      <c r="C66" s="14"/>
      <c r="D66" s="2"/>
      <c r="E66" s="2"/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SUM(OSRRefD21_1_2x)+IFERROR(SUM(OSRRefE21_1_2x),0)</f>
        <v>0</v>
      </c>
    </row>
    <row r="67" spans="1:17" s="35" customFormat="1" hidden="1" outlineLevel="1" x14ac:dyDescent="0.3">
      <c r="A67" s="34"/>
      <c r="B67" s="10" t="str">
        <f>CONCATENATE("          ","6004", " - ","STAFF HOURLY")</f>
        <v xml:space="preserve">          6004 - STAFF HOURLY</v>
      </c>
      <c r="C67" s="14"/>
      <c r="D67" s="2">
        <v>18084.38</v>
      </c>
      <c r="E67" s="2">
        <v>19678.82</v>
      </c>
      <c r="F67" s="2">
        <v>21848.69</v>
      </c>
      <c r="G67" s="2">
        <v>30372.86</v>
      </c>
      <c r="H67" s="2">
        <v>20628.84</v>
      </c>
      <c r="I67" s="2">
        <v>21860.77</v>
      </c>
      <c r="J67" s="2">
        <v>45313.941959999996</v>
      </c>
      <c r="K67" s="2">
        <v>36653.093567999997</v>
      </c>
      <c r="L67" s="2">
        <v>36029.393568</v>
      </c>
      <c r="M67" s="2">
        <v>44690.241959999999</v>
      </c>
      <c r="N67" s="2">
        <v>36029.393568</v>
      </c>
      <c r="O67" s="2">
        <v>34643.393568</v>
      </c>
      <c r="P67" s="9"/>
      <c r="Q67" s="2">
        <f>SUM(OSRRefD21_1_3x)+IFERROR(SUM(OSRRefE21_1_3x),0)</f>
        <v>365833.81819199998</v>
      </c>
    </row>
    <row r="68" spans="1:17" s="35" customFormat="1" hidden="1" outlineLevel="1" x14ac:dyDescent="0.3">
      <c r="A68" s="34"/>
      <c r="B68" s="10" t="str">
        <f>CONCATENATE("          ","6005", " - ","TEMPORARY WAGES-HOURLY")</f>
        <v xml:space="preserve">          6005 - TEMPORARY WAGES-HOURLY</v>
      </c>
      <c r="C68" s="14"/>
      <c r="D68" s="2">
        <v>9447.7999999999993</v>
      </c>
      <c r="E68" s="2">
        <v>9622.7900000000009</v>
      </c>
      <c r="F68" s="2">
        <v>8688.1200000000008</v>
      </c>
      <c r="G68" s="2">
        <v>11398.46</v>
      </c>
      <c r="H68" s="2">
        <v>7275.68</v>
      </c>
      <c r="I68" s="2">
        <v>6414.59</v>
      </c>
      <c r="J68" s="2">
        <v>3009.34</v>
      </c>
      <c r="K68" s="2">
        <v>1802</v>
      </c>
      <c r="L68" s="2">
        <v>1802</v>
      </c>
      <c r="M68" s="2">
        <v>2396.66</v>
      </c>
      <c r="N68" s="2">
        <v>2252.5</v>
      </c>
      <c r="O68" s="2">
        <v>2396.66</v>
      </c>
      <c r="P68" s="9"/>
      <c r="Q68" s="2">
        <f>SUM(OSRRefD21_1_4x)+IFERROR(SUM(OSRRefE21_1_4x),0)</f>
        <v>66506.600000000006</v>
      </c>
    </row>
    <row r="69" spans="1:17" s="35" customFormat="1" hidden="1" outlineLevel="1" x14ac:dyDescent="0.3">
      <c r="A69" s="34"/>
      <c r="B69" s="10" t="str">
        <f>CONCATENATE("          ","6006", " - ","TEMPORARY PART TIME")</f>
        <v xml:space="preserve">          6006 - TEMPORARY PART TIME</v>
      </c>
      <c r="C69" s="14"/>
      <c r="D69" s="2">
        <v>2864.4</v>
      </c>
      <c r="E69" s="2">
        <v>3273.79</v>
      </c>
      <c r="F69" s="2">
        <v>2957.46</v>
      </c>
      <c r="G69" s="2">
        <v>781.97</v>
      </c>
      <c r="H69" s="2"/>
      <c r="I69" s="2"/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SUM(OSRRefD21_1_5x)+IFERROR(SUM(OSRRefE21_1_5x),0)</f>
        <v>9877.6200000000008</v>
      </c>
    </row>
    <row r="70" spans="1:17" s="35" customFormat="1" hidden="1" outlineLevel="1" x14ac:dyDescent="0.3">
      <c r="A70" s="34"/>
      <c r="B70" s="10" t="str">
        <f>CONCATENATE("          ","6007", " - ","STUDENT HOURLY")</f>
        <v xml:space="preserve">          6007 - STUDENT HOURLY</v>
      </c>
      <c r="C70" s="14"/>
      <c r="D70" s="2">
        <v>51955.82</v>
      </c>
      <c r="E70" s="2">
        <v>76510.509999999995</v>
      </c>
      <c r="F70" s="2">
        <v>51710.95</v>
      </c>
      <c r="G70" s="2">
        <v>51649.760000000002</v>
      </c>
      <c r="H70" s="2">
        <v>42782.01</v>
      </c>
      <c r="I70" s="2">
        <v>57123.01</v>
      </c>
      <c r="J70" s="2">
        <v>50998.61</v>
      </c>
      <c r="K70" s="2">
        <v>30933.624</v>
      </c>
      <c r="L70" s="2">
        <v>30466.416000000001</v>
      </c>
      <c r="M70" s="2">
        <v>37849.415999999997</v>
      </c>
      <c r="N70" s="2">
        <v>30466.416000000001</v>
      </c>
      <c r="O70" s="2">
        <v>27441.011350000001</v>
      </c>
      <c r="P70" s="9"/>
      <c r="Q70" s="2">
        <f>SUM(OSRRefD21_1_6x)+IFERROR(SUM(OSRRefE21_1_6x),0)</f>
        <v>539887.55334999994</v>
      </c>
    </row>
    <row r="71" spans="1:17" s="35" customFormat="1" hidden="1" outlineLevel="1" x14ac:dyDescent="0.3">
      <c r="A71" s="34"/>
      <c r="B71" s="10" t="str">
        <f>CONCATENATE("          ","6008", " - ","STUDENT HOURLY-FICA EXEMPT")</f>
        <v xml:space="preserve">          6008 - STUDENT HOURLY-FICA EXEMPT</v>
      </c>
      <c r="C71" s="14"/>
      <c r="D71" s="2">
        <v>9784.35</v>
      </c>
      <c r="E71" s="2">
        <v>14279.3</v>
      </c>
      <c r="F71" s="2">
        <v>9666.24</v>
      </c>
      <c r="G71" s="2">
        <v>9913.85</v>
      </c>
      <c r="H71" s="2">
        <v>7061.93</v>
      </c>
      <c r="I71" s="2">
        <v>6586.67</v>
      </c>
      <c r="J71" s="2">
        <v>104913.18952499999</v>
      </c>
      <c r="K71" s="2">
        <v>37298.384525000001</v>
      </c>
      <c r="L71" s="2">
        <v>28293.071075</v>
      </c>
      <c r="M71" s="2">
        <v>36572.811325000002</v>
      </c>
      <c r="N71" s="2">
        <v>33739.772324999998</v>
      </c>
      <c r="O71" s="2">
        <v>29532</v>
      </c>
      <c r="P71" s="9"/>
      <c r="Q71" s="2">
        <f>SUM(OSRRefD21_1_7x)+IFERROR(SUM(OSRRefE21_1_7x),0)</f>
        <v>327641.56877499993</v>
      </c>
    </row>
    <row r="72" spans="1:17" s="35" customFormat="1" hidden="1" outlineLevel="1" x14ac:dyDescent="0.3">
      <c r="A72" s="34"/>
      <c r="B72" s="10" t="str">
        <f>CONCATENATE("          ","6009", " - ","TEMPORARY-SEASONAL")</f>
        <v xml:space="preserve">          6009 - TEMPORARY-SEASONAL</v>
      </c>
      <c r="C72" s="14"/>
      <c r="D72" s="2"/>
      <c r="E72" s="2"/>
      <c r="F72" s="2"/>
      <c r="G72" s="2"/>
      <c r="H72" s="2"/>
      <c r="I72" s="2"/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SUM(OSRRefD21_1_8x)+IFERROR(SUM(OSRRefE21_1_8x),0)</f>
        <v>0</v>
      </c>
    </row>
    <row r="73" spans="1:17" s="35" customFormat="1" hidden="1" outlineLevel="1" x14ac:dyDescent="0.3">
      <c r="A73" s="34"/>
      <c r="B73" s="10" t="str">
        <f>CONCATENATE("          ","6010", " - ","GRATUITY")</f>
        <v xml:space="preserve">          6010 - GRATUITY</v>
      </c>
      <c r="C73" s="14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SUM(OSRRefD21_1_9x)+IFERROR(SUM(OSRRefE21_1_9x),0)</f>
        <v>0</v>
      </c>
    </row>
    <row r="74" spans="1:17" s="35" customFormat="1" collapsed="1" x14ac:dyDescent="0.3">
      <c r="A74" s="34"/>
      <c r="B74" s="14" t="str">
        <f>CONCATENATE("     ","Advertising/Promo                                 ")</f>
        <v xml:space="preserve">     Advertising/Promo                                 </v>
      </c>
      <c r="C74" s="14"/>
      <c r="D74" s="1">
        <f>SUM(OSRRefD21_2x_0)</f>
        <v>493.63</v>
      </c>
      <c r="E74" s="1">
        <f>SUM(OSRRefD21_2x_1)</f>
        <v>1542.54</v>
      </c>
      <c r="F74" s="1">
        <f>SUM(OSRRefD21_2x_2)</f>
        <v>163.18</v>
      </c>
      <c r="G74" s="1">
        <f>SUM(OSRRefD21_2x_3)</f>
        <v>950.63</v>
      </c>
      <c r="H74" s="1">
        <f>SUM(OSRRefD21_2x_4)</f>
        <v>1682.71</v>
      </c>
      <c r="I74" s="1">
        <f>SUM(OSRRefD21_2x_5)</f>
        <v>722.3</v>
      </c>
      <c r="J74" s="1">
        <f>SUM(OSRRefE21_2x_0)</f>
        <v>600</v>
      </c>
      <c r="K74" s="1">
        <f>SUM(OSRRefE21_2x_1)</f>
        <v>300</v>
      </c>
      <c r="L74" s="1">
        <f>SUM(OSRRefE21_2x_2)</f>
        <v>300</v>
      </c>
      <c r="M74" s="1">
        <f>SUM(OSRRefE21_2x_3)</f>
        <v>300</v>
      </c>
      <c r="N74" s="1">
        <f>SUM(OSRRefE21_2x_4)</f>
        <v>400</v>
      </c>
      <c r="O74" s="1">
        <f>SUM(OSRRefE21_2x_5)</f>
        <v>300</v>
      </c>
      <c r="Q74" s="2">
        <f>SUM(OSRRefD20_2x)+IFERROR(SUM(OSRRefE20_2x),0)</f>
        <v>7754.9900000000007</v>
      </c>
    </row>
    <row r="75" spans="1:17" s="35" customFormat="1" hidden="1" outlineLevel="1" x14ac:dyDescent="0.3">
      <c r="A75" s="34"/>
      <c r="B75" s="10" t="str">
        <f>CONCATENATE("          ","6362", " - ","ADVERTISING EXPENSE")</f>
        <v xml:space="preserve">          6362 - ADVERTISING EXPENSE</v>
      </c>
      <c r="C75" s="14"/>
      <c r="D75" s="2">
        <v>493.63</v>
      </c>
      <c r="E75" s="2">
        <v>1542.54</v>
      </c>
      <c r="F75" s="2">
        <v>163.18</v>
      </c>
      <c r="G75" s="2">
        <v>950.63</v>
      </c>
      <c r="H75" s="2">
        <v>1682.71</v>
      </c>
      <c r="I75" s="2">
        <v>722.3</v>
      </c>
      <c r="J75" s="2">
        <v>600</v>
      </c>
      <c r="K75" s="2">
        <v>300</v>
      </c>
      <c r="L75" s="2">
        <v>300</v>
      </c>
      <c r="M75" s="2">
        <v>300</v>
      </c>
      <c r="N75" s="2">
        <v>400</v>
      </c>
      <c r="O75" s="2">
        <v>300</v>
      </c>
      <c r="P75" s="9"/>
      <c r="Q75" s="2">
        <f>SUM(OSRRefD21_2_0x)+IFERROR(SUM(OSRRefE21_2_0x),0)</f>
        <v>7754.9900000000007</v>
      </c>
    </row>
    <row r="76" spans="1:17" s="35" customFormat="1" collapsed="1" x14ac:dyDescent="0.3">
      <c r="A76" s="34"/>
      <c r="B76" s="14" t="str">
        <f>CONCATENATE("     ","Bad Debts/Over/Short                              ")</f>
        <v xml:space="preserve">     Bad Debts/Over/Short                              </v>
      </c>
      <c r="C76" s="14"/>
      <c r="D76" s="1">
        <f>SUM(OSRRefD21_3x_0)</f>
        <v>1.27</v>
      </c>
      <c r="E76" s="1">
        <f>SUM(OSRRefD21_3x_1)</f>
        <v>150.76</v>
      </c>
      <c r="F76" s="1">
        <f>SUM(OSRRefD21_3x_2)</f>
        <v>96.88</v>
      </c>
      <c r="G76" s="1">
        <f>SUM(OSRRefD21_3x_3)</f>
        <v>-30.42</v>
      </c>
      <c r="H76" s="1">
        <f>SUM(OSRRefD21_3x_4)</f>
        <v>-40.770000000000003</v>
      </c>
      <c r="I76" s="1">
        <f>SUM(OSRRefD21_3x_5)</f>
        <v>-24.66</v>
      </c>
      <c r="J76" s="1">
        <f>SUM(OSRRefE21_3x_0)</f>
        <v>235</v>
      </c>
      <c r="K76" s="1">
        <f>SUM(OSRRefE21_3x_1)</f>
        <v>235</v>
      </c>
      <c r="L76" s="1">
        <f>SUM(OSRRefE21_3x_2)</f>
        <v>235</v>
      </c>
      <c r="M76" s="1">
        <f>SUM(OSRRefE21_3x_3)</f>
        <v>235</v>
      </c>
      <c r="N76" s="1">
        <f>SUM(OSRRefE21_3x_4)</f>
        <v>235</v>
      </c>
      <c r="O76" s="1">
        <f>SUM(OSRRefE21_3x_5)</f>
        <v>235</v>
      </c>
      <c r="Q76" s="2">
        <f>SUM(OSRRefD20_3x)+IFERROR(SUM(OSRRefE20_3x),0)</f>
        <v>1563.06</v>
      </c>
    </row>
    <row r="77" spans="1:17" s="35" customFormat="1" hidden="1" outlineLevel="1" x14ac:dyDescent="0.3">
      <c r="A77" s="34"/>
      <c r="B77" s="10" t="str">
        <f>CONCATENATE("          ","6272", " - ","CASH (OVER/SHORT)")</f>
        <v xml:space="preserve">          6272 - CASH (OVER/SHORT)</v>
      </c>
      <c r="C77" s="14"/>
      <c r="D77" s="2">
        <v>1.27</v>
      </c>
      <c r="E77" s="2">
        <v>150.76</v>
      </c>
      <c r="F77" s="2">
        <v>96.88</v>
      </c>
      <c r="G77" s="2">
        <v>-30.42</v>
      </c>
      <c r="H77" s="2">
        <v>-40.770000000000003</v>
      </c>
      <c r="I77" s="2">
        <v>-24.66</v>
      </c>
      <c r="J77" s="2">
        <v>235</v>
      </c>
      <c r="K77" s="2">
        <v>235</v>
      </c>
      <c r="L77" s="2">
        <v>235</v>
      </c>
      <c r="M77" s="2">
        <v>235</v>
      </c>
      <c r="N77" s="2">
        <v>235</v>
      </c>
      <c r="O77" s="2">
        <v>235</v>
      </c>
      <c r="P77" s="9"/>
      <c r="Q77" s="2">
        <f>SUM(OSRRefD21_3_0x)+IFERROR(SUM(OSRRefE21_3_0x),0)</f>
        <v>1563.06</v>
      </c>
    </row>
    <row r="78" spans="1:17" s="35" customFormat="1" collapsed="1" x14ac:dyDescent="0.3">
      <c r="A78" s="34"/>
      <c r="B78" s="14" t="str">
        <f>CONCATENATE("     ","Bank/card Fees                                    ")</f>
        <v xml:space="preserve">     Bank/card Fees                                    </v>
      </c>
      <c r="C78" s="14"/>
      <c r="D78" s="1">
        <f>SUM(OSRRefD21_4x_0)</f>
        <v>3961.88</v>
      </c>
      <c r="E78" s="1">
        <f>SUM(OSRRefD21_4x_1)</f>
        <v>23002.82</v>
      </c>
      <c r="F78" s="1">
        <f>SUM(OSRRefD21_4x_2)</f>
        <v>10623.99</v>
      </c>
      <c r="G78" s="1">
        <f>SUM(OSRRefD21_4x_3)</f>
        <v>12740.8</v>
      </c>
      <c r="H78" s="1">
        <f>SUM(OSRRefD21_4x_4)</f>
        <v>7877.66</v>
      </c>
      <c r="I78" s="1">
        <f>SUM(OSRRefD21_4x_5)</f>
        <v>9159.44</v>
      </c>
      <c r="J78" s="1">
        <f>SUM(OSRRefE21_4x_0)</f>
        <v>35405</v>
      </c>
      <c r="K78" s="1">
        <f>SUM(OSRRefE21_4x_1)</f>
        <v>9656</v>
      </c>
      <c r="L78" s="1">
        <f>SUM(OSRRefE21_4x_2)</f>
        <v>8002</v>
      </c>
      <c r="M78" s="1">
        <f>SUM(OSRRefE21_4x_3)</f>
        <v>9877</v>
      </c>
      <c r="N78" s="1">
        <f>SUM(OSRRefE21_4x_4)</f>
        <v>13471</v>
      </c>
      <c r="O78" s="1">
        <f>SUM(OSRRefE21_4x_5)</f>
        <v>7144</v>
      </c>
      <c r="Q78" s="2">
        <f>SUM(OSRRefD20_4x)+IFERROR(SUM(OSRRefE20_4x),0)</f>
        <v>150921.59000000003</v>
      </c>
    </row>
    <row r="79" spans="1:17" s="35" customFormat="1" hidden="1" outlineLevel="1" x14ac:dyDescent="0.3">
      <c r="A79" s="34"/>
      <c r="B79" s="10" t="str">
        <f>CONCATENATE("          ","6381", " - ","BANK/CREDIT CARD FEES")</f>
        <v xml:space="preserve">          6381 - BANK/CREDIT CARD FEES</v>
      </c>
      <c r="C79" s="14"/>
      <c r="D79" s="2">
        <v>3961.88</v>
      </c>
      <c r="E79" s="2">
        <v>23002.82</v>
      </c>
      <c r="F79" s="2">
        <v>10623.99</v>
      </c>
      <c r="G79" s="2">
        <v>12740.8</v>
      </c>
      <c r="H79" s="2">
        <v>7877.66</v>
      </c>
      <c r="I79" s="2">
        <v>9159.44</v>
      </c>
      <c r="J79" s="2">
        <v>35405</v>
      </c>
      <c r="K79" s="2">
        <v>9656</v>
      </c>
      <c r="L79" s="2">
        <v>8002</v>
      </c>
      <c r="M79" s="2">
        <v>9877</v>
      </c>
      <c r="N79" s="2">
        <v>13471</v>
      </c>
      <c r="O79" s="2">
        <v>7144</v>
      </c>
      <c r="P79" s="9"/>
      <c r="Q79" s="2">
        <f>SUM(OSRRefD21_4_0x)+IFERROR(SUM(OSRRefE21_4_0x),0)</f>
        <v>150921.59000000003</v>
      </c>
    </row>
    <row r="80" spans="1:17" s="35" customFormat="1" collapsed="1" x14ac:dyDescent="0.3">
      <c r="A80" s="34"/>
      <c r="B80" s="14" t="str">
        <f>CONCATENATE("     ","Depreciation                                      ")</f>
        <v xml:space="preserve">     Depreciation                                      </v>
      </c>
      <c r="C80" s="14"/>
      <c r="D80" s="1">
        <f>SUM(OSRRefD21_5x_0)</f>
        <v>30720.68</v>
      </c>
      <c r="E80" s="1">
        <f>SUM(OSRRefD21_5x_1)</f>
        <v>30720.68</v>
      </c>
      <c r="F80" s="1">
        <f>SUM(OSRRefD21_5x_2)</f>
        <v>30720.68</v>
      </c>
      <c r="G80" s="1">
        <f>SUM(OSRRefD21_5x_3)</f>
        <v>30614.86</v>
      </c>
      <c r="H80" s="1">
        <f>SUM(OSRRefD21_5x_4)</f>
        <v>30614.85</v>
      </c>
      <c r="I80" s="1">
        <f>SUM(OSRRefD21_5x_5)</f>
        <v>30614.839999999997</v>
      </c>
      <c r="J80" s="1">
        <f>SUM(OSRRefE21_5x_0)</f>
        <v>28229</v>
      </c>
      <c r="K80" s="1">
        <f>SUM(OSRRefE21_5x_1)</f>
        <v>27419</v>
      </c>
      <c r="L80" s="1">
        <f>SUM(OSRRefE21_5x_2)</f>
        <v>27419</v>
      </c>
      <c r="M80" s="1">
        <f>SUM(OSRRefE21_5x_3)</f>
        <v>16259</v>
      </c>
      <c r="N80" s="1">
        <f>SUM(OSRRefE21_5x_4)</f>
        <v>16259</v>
      </c>
      <c r="O80" s="1">
        <f>SUM(OSRRefE21_5x_5)</f>
        <v>16259</v>
      </c>
      <c r="Q80" s="2">
        <f>SUM(OSRRefD20_5x)+IFERROR(SUM(OSRRefE20_5x),0)</f>
        <v>315850.58999999997</v>
      </c>
    </row>
    <row r="81" spans="1:17" s="35" customFormat="1" hidden="1" outlineLevel="1" x14ac:dyDescent="0.3">
      <c r="A81" s="34"/>
      <c r="B81" s="10" t="str">
        <f>CONCATENATE("          ","6321", " - ","BUILDING DEPRECIATION")</f>
        <v xml:space="preserve">          6321 - BUILDING DEPRECIATION</v>
      </c>
      <c r="C81" s="14"/>
      <c r="D81" s="2">
        <v>16396.52</v>
      </c>
      <c r="E81" s="2">
        <v>16396.52</v>
      </c>
      <c r="F81" s="2">
        <v>16396.52</v>
      </c>
      <c r="G81" s="2">
        <v>16396.52</v>
      </c>
      <c r="H81" s="2">
        <v>16396.52</v>
      </c>
      <c r="I81" s="2">
        <v>16396.509999999998</v>
      </c>
      <c r="J81" s="2"/>
      <c r="K81" s="2"/>
      <c r="L81" s="2"/>
      <c r="M81" s="2"/>
      <c r="N81" s="2"/>
      <c r="O81" s="2"/>
      <c r="P81" s="9"/>
      <c r="Q81" s="2">
        <f>SUM(OSRRefD21_5_0x)+IFERROR(SUM(OSRRefE21_5_0x),0)</f>
        <v>98379.11</v>
      </c>
    </row>
    <row r="82" spans="1:17" s="35" customFormat="1" hidden="1" outlineLevel="1" x14ac:dyDescent="0.3">
      <c r="A82" s="34"/>
      <c r="B82" s="10" t="str">
        <f>CONCATENATE("          ","6322", " - ","EQUIPMENT DEPRECIATION EXPENSE")</f>
        <v xml:space="preserve">          6322 - EQUIPMENT DEPRECIATION EXPENSE</v>
      </c>
      <c r="C82" s="14"/>
      <c r="D82" s="2">
        <v>14324.16</v>
      </c>
      <c r="E82" s="2">
        <v>14324.16</v>
      </c>
      <c r="F82" s="2">
        <v>14324.16</v>
      </c>
      <c r="G82" s="2">
        <v>14218.34</v>
      </c>
      <c r="H82" s="2">
        <v>14218.33</v>
      </c>
      <c r="I82" s="2">
        <v>14218.33</v>
      </c>
      <c r="J82" s="2">
        <v>28229</v>
      </c>
      <c r="K82" s="2">
        <v>27419</v>
      </c>
      <c r="L82" s="2">
        <v>27419</v>
      </c>
      <c r="M82" s="2">
        <v>16259</v>
      </c>
      <c r="N82" s="2">
        <v>16259</v>
      </c>
      <c r="O82" s="2">
        <v>16259</v>
      </c>
      <c r="P82" s="9"/>
      <c r="Q82" s="2">
        <f>SUM(OSRRefD21_5_1x)+IFERROR(SUM(OSRRefE21_5_1x),0)</f>
        <v>217471.47999999998</v>
      </c>
    </row>
    <row r="83" spans="1:17" s="35" customFormat="1" collapsed="1" x14ac:dyDescent="0.3">
      <c r="A83" s="34"/>
      <c r="B83" s="14" t="str">
        <f>CONCATENATE("     ","Discounts and Markdowns                           ")</f>
        <v xml:space="preserve">     Discounts and Markdowns                           </v>
      </c>
      <c r="C83" s="14"/>
      <c r="D83" s="1">
        <f>SUM(OSRRefD21_6x_0)</f>
        <v>-0.68</v>
      </c>
      <c r="E83" s="1">
        <f>SUM(OSRRefD21_6x_1)</f>
        <v>-157.30000000000001</v>
      </c>
      <c r="F83" s="1">
        <f>SUM(OSRRefD21_6x_2)</f>
        <v>135.49</v>
      </c>
      <c r="G83" s="1">
        <f>SUM(OSRRefD21_6x_3)</f>
        <v>-43.75</v>
      </c>
      <c r="H83" s="1">
        <f>SUM(OSRRefD21_6x_4)</f>
        <v>3409.87</v>
      </c>
      <c r="I83" s="1">
        <f>SUM(OSRRefD21_6x_5)</f>
        <v>11.17</v>
      </c>
      <c r="J83" s="1">
        <f>SUM(OSRRefE21_6x_0)</f>
        <v>0</v>
      </c>
      <c r="K83" s="1">
        <f>SUM(OSRRefE21_6x_1)</f>
        <v>0</v>
      </c>
      <c r="L83" s="1">
        <f>SUM(OSRRefE21_6x_2)</f>
        <v>0</v>
      </c>
      <c r="M83" s="1">
        <f>SUM(OSRRefE21_6x_3)</f>
        <v>0</v>
      </c>
      <c r="N83" s="1">
        <f>SUM(OSRRefE21_6x_4)</f>
        <v>0</v>
      </c>
      <c r="O83" s="1">
        <f>SUM(OSRRefE21_6x_5)</f>
        <v>0</v>
      </c>
      <c r="Q83" s="2">
        <f>SUM(OSRRefD20_6x)+IFERROR(SUM(OSRRefE20_6x),0)</f>
        <v>3354.8</v>
      </c>
    </row>
    <row r="84" spans="1:17" s="35" customFormat="1" hidden="1" outlineLevel="1" x14ac:dyDescent="0.3">
      <c r="A84" s="34"/>
      <c r="B84" s="10" t="str">
        <f>CONCATENATE("          ","6382", " - ","DISCOUNTS/MARK DOWNS")</f>
        <v xml:space="preserve">          6382 - DISCOUNTS/MARK DOWNS</v>
      </c>
      <c r="C84" s="14"/>
      <c r="D84" s="2"/>
      <c r="E84" s="2"/>
      <c r="F84" s="2"/>
      <c r="G84" s="2"/>
      <c r="H84" s="2">
        <v>3410</v>
      </c>
      <c r="I84" s="2"/>
      <c r="J84" s="2"/>
      <c r="K84" s="2"/>
      <c r="L84" s="2"/>
      <c r="M84" s="2"/>
      <c r="N84" s="2"/>
      <c r="O84" s="2"/>
      <c r="P84" s="9"/>
      <c r="Q84" s="2">
        <f>SUM(OSRRefD21_6_0x)+IFERROR(SUM(OSRRefE21_6_0x),0)</f>
        <v>3410</v>
      </c>
    </row>
    <row r="85" spans="1:17" s="35" customFormat="1" hidden="1" outlineLevel="1" x14ac:dyDescent="0.3">
      <c r="A85" s="34"/>
      <c r="B85" s="10" t="str">
        <f>CONCATENATE("          ","9175", " - ","EARNED DISCOUNTS")</f>
        <v xml:space="preserve">          9175 - EARNED DISCOUNTS</v>
      </c>
      <c r="C85" s="14"/>
      <c r="D85" s="2">
        <v>-0.68</v>
      </c>
      <c r="E85" s="2">
        <v>-157.30000000000001</v>
      </c>
      <c r="F85" s="2">
        <v>135.49</v>
      </c>
      <c r="G85" s="2">
        <v>-43.75</v>
      </c>
      <c r="H85" s="2">
        <v>-0.13</v>
      </c>
      <c r="I85" s="2">
        <v>11.17</v>
      </c>
      <c r="J85" s="2"/>
      <c r="K85" s="2"/>
      <c r="L85" s="2"/>
      <c r="M85" s="2"/>
      <c r="N85" s="2"/>
      <c r="O85" s="2"/>
      <c r="P85" s="9"/>
      <c r="Q85" s="2">
        <f>SUM(OSRRefD21_6_1x)+IFERROR(SUM(OSRRefE21_6_1x),0)</f>
        <v>-55.2</v>
      </c>
    </row>
    <row r="86" spans="1:17" s="35" customFormat="1" collapsed="1" x14ac:dyDescent="0.3">
      <c r="A86" s="34"/>
      <c r="B86" s="14" t="str">
        <f>CONCATENATE("     ","Donations                                         ")</f>
        <v xml:space="preserve">     Donations                                         </v>
      </c>
      <c r="C86" s="14"/>
      <c r="D86" s="1">
        <f>SUM(OSRRefD21_7x_0)</f>
        <v>0</v>
      </c>
      <c r="E86" s="1">
        <f>SUM(OSRRefD21_7x_1)</f>
        <v>0</v>
      </c>
      <c r="F86" s="1">
        <f>SUM(OSRRefD21_7x_2)</f>
        <v>0</v>
      </c>
      <c r="G86" s="1">
        <f>SUM(OSRRefD21_7x_3)</f>
        <v>1483.48</v>
      </c>
      <c r="H86" s="1">
        <f>SUM(OSRRefD21_7x_4)</f>
        <v>1336.74</v>
      </c>
      <c r="I86" s="1">
        <f>SUM(OSRRefD21_7x_5)</f>
        <v>0</v>
      </c>
      <c r="J86" s="1">
        <f>SUM(OSRRefE21_7x_0)</f>
        <v>1250</v>
      </c>
      <c r="K86" s="1">
        <f>SUM(OSRRefE21_7x_1)</f>
        <v>1250</v>
      </c>
      <c r="L86" s="1">
        <f>SUM(OSRRefE21_7x_2)</f>
        <v>1250</v>
      </c>
      <c r="M86" s="1">
        <f>SUM(OSRRefE21_7x_3)</f>
        <v>1250</v>
      </c>
      <c r="N86" s="1">
        <f>SUM(OSRRefE21_7x_4)</f>
        <v>1250</v>
      </c>
      <c r="O86" s="1">
        <f>SUM(OSRRefE21_7x_5)</f>
        <v>1250</v>
      </c>
      <c r="Q86" s="2">
        <f>SUM(OSRRefD20_7x)+IFERROR(SUM(OSRRefE20_7x),0)</f>
        <v>10320.220000000001</v>
      </c>
    </row>
    <row r="87" spans="1:17" s="35" customFormat="1" hidden="1" outlineLevel="1" x14ac:dyDescent="0.3">
      <c r="A87" s="34"/>
      <c r="B87" s="10" t="str">
        <f>CONCATENATE("          ","6399", " - ","DONATION-ON CAMPUS")</f>
        <v xml:space="preserve">          6399 - DONATION-ON CAMPUS</v>
      </c>
      <c r="C87" s="14"/>
      <c r="D87" s="2"/>
      <c r="E87" s="2"/>
      <c r="F87" s="2"/>
      <c r="G87" s="2">
        <v>1483.48</v>
      </c>
      <c r="H87" s="2">
        <v>1336.74</v>
      </c>
      <c r="I87" s="2"/>
      <c r="J87" s="2">
        <v>1250</v>
      </c>
      <c r="K87" s="2">
        <v>1250</v>
      </c>
      <c r="L87" s="2">
        <v>1250</v>
      </c>
      <c r="M87" s="2">
        <v>1250</v>
      </c>
      <c r="N87" s="2">
        <v>1250</v>
      </c>
      <c r="O87" s="2">
        <v>1250</v>
      </c>
      <c r="P87" s="9"/>
      <c r="Q87" s="2">
        <f>SUM(OSRRefD21_7_0x)+IFERROR(SUM(OSRRefE21_7_0x),0)</f>
        <v>10320.220000000001</v>
      </c>
    </row>
    <row r="88" spans="1:17" s="35" customFormat="1" collapsed="1" x14ac:dyDescent="0.3">
      <c r="A88" s="34"/>
      <c r="B88" s="14" t="str">
        <f>CONCATENATE("     ","Employees' Appreciation                           ")</f>
        <v xml:space="preserve">     Employees' Appreciation                           </v>
      </c>
      <c r="C88" s="14"/>
      <c r="D88" s="1">
        <f>SUM(OSRRefD21_8x_0)</f>
        <v>537.36</v>
      </c>
      <c r="E88" s="1">
        <f>SUM(OSRRefD21_8x_1)</f>
        <v>400</v>
      </c>
      <c r="F88" s="1">
        <f>SUM(OSRRefD21_8x_2)</f>
        <v>447.27</v>
      </c>
      <c r="G88" s="1">
        <f>SUM(OSRRefD21_8x_3)</f>
        <v>0</v>
      </c>
      <c r="H88" s="1">
        <f>SUM(OSRRefD21_8x_4)</f>
        <v>490.02</v>
      </c>
      <c r="I88" s="1">
        <f>SUM(OSRRefD21_8x_5)</f>
        <v>949.16</v>
      </c>
      <c r="J88" s="1">
        <f>SUM(OSRRefE21_8x_0)</f>
        <v>225</v>
      </c>
      <c r="K88" s="1">
        <f>SUM(OSRRefE21_8x_1)</f>
        <v>225</v>
      </c>
      <c r="L88" s="1">
        <f>SUM(OSRRefE21_8x_2)</f>
        <v>225</v>
      </c>
      <c r="M88" s="1">
        <f>SUM(OSRRefE21_8x_3)</f>
        <v>225</v>
      </c>
      <c r="N88" s="1">
        <f>SUM(OSRRefE21_8x_4)</f>
        <v>225</v>
      </c>
      <c r="O88" s="1">
        <f>SUM(OSRRefE21_8x_5)</f>
        <v>225</v>
      </c>
      <c r="Q88" s="2">
        <f>SUM(OSRRefD20_8x)+IFERROR(SUM(OSRRefE20_8x),0)</f>
        <v>4173.8099999999995</v>
      </c>
    </row>
    <row r="89" spans="1:17" s="35" customFormat="1" hidden="1" outlineLevel="1" x14ac:dyDescent="0.3">
      <c r="A89" s="34"/>
      <c r="B89" s="10" t="str">
        <f>CONCATENATE("          ","6277", " - ","EMPLOYEE APPRECIATION")</f>
        <v xml:space="preserve">          6277 - EMPLOYEE APPRECIATION</v>
      </c>
      <c r="C89" s="14"/>
      <c r="D89" s="2">
        <v>537.36</v>
      </c>
      <c r="E89" s="2">
        <v>400</v>
      </c>
      <c r="F89" s="2">
        <v>447.27</v>
      </c>
      <c r="G89" s="2"/>
      <c r="H89" s="2">
        <v>490.02</v>
      </c>
      <c r="I89" s="2">
        <v>949.16</v>
      </c>
      <c r="J89" s="2">
        <v>225</v>
      </c>
      <c r="K89" s="2">
        <v>225</v>
      </c>
      <c r="L89" s="2">
        <v>225</v>
      </c>
      <c r="M89" s="2">
        <v>225</v>
      </c>
      <c r="N89" s="2">
        <v>225</v>
      </c>
      <c r="O89" s="2">
        <v>225</v>
      </c>
      <c r="P89" s="9"/>
      <c r="Q89" s="2">
        <f>SUM(OSRRefD21_8_0x)+IFERROR(SUM(OSRRefE21_8_0x),0)</f>
        <v>4173.8099999999995</v>
      </c>
    </row>
    <row r="90" spans="1:17" s="35" customFormat="1" collapsed="1" x14ac:dyDescent="0.3">
      <c r="A90" s="34"/>
      <c r="B90" s="14" t="str">
        <f>CONCATENATE("     ","Equipment Rental                                  ")</f>
        <v xml:space="preserve">     Equipment Rental                                  </v>
      </c>
      <c r="C90" s="14"/>
      <c r="D90" s="1">
        <f>SUM(OSRRefD21_9x_0)</f>
        <v>1388.16</v>
      </c>
      <c r="E90" s="1">
        <f>SUM(OSRRefD21_9x_1)</f>
        <v>2303.73</v>
      </c>
      <c r="F90" s="1">
        <f>SUM(OSRRefD21_9x_2)</f>
        <v>1388.16</v>
      </c>
      <c r="G90" s="1">
        <f>SUM(OSRRefD21_9x_3)</f>
        <v>1531.35</v>
      </c>
      <c r="H90" s="1">
        <f>SUM(OSRRefD21_9x_4)</f>
        <v>1712.05</v>
      </c>
      <c r="I90" s="1">
        <f>SUM(OSRRefD21_9x_5)</f>
        <v>1507.07</v>
      </c>
      <c r="J90" s="1">
        <f>SUM(OSRRefE21_9x_0)</f>
        <v>1700</v>
      </c>
      <c r="K90" s="1">
        <f>SUM(OSRRefE21_9x_1)</f>
        <v>1700</v>
      </c>
      <c r="L90" s="1">
        <f>SUM(OSRRefE21_9x_2)</f>
        <v>1700</v>
      </c>
      <c r="M90" s="1">
        <f>SUM(OSRRefE21_9x_3)</f>
        <v>1700</v>
      </c>
      <c r="N90" s="1">
        <f>SUM(OSRRefE21_9x_4)</f>
        <v>1700</v>
      </c>
      <c r="O90" s="1">
        <f>SUM(OSRRefE21_9x_5)</f>
        <v>1700</v>
      </c>
      <c r="Q90" s="2">
        <f>SUM(OSRRefD20_9x)+IFERROR(SUM(OSRRefE20_9x),0)</f>
        <v>20030.519999999997</v>
      </c>
    </row>
    <row r="91" spans="1:17" s="35" customFormat="1" hidden="1" outlineLevel="1" x14ac:dyDescent="0.3">
      <c r="A91" s="34"/>
      <c r="B91" s="10" t="str">
        <f>CONCATENATE("          ","6351", " - ","EQUIPMENT RENTAL")</f>
        <v xml:space="preserve">          6351 - EQUIPMENT RENTAL</v>
      </c>
      <c r="C91" s="14"/>
      <c r="D91" s="2">
        <v>1388.16</v>
      </c>
      <c r="E91" s="2">
        <v>2303.73</v>
      </c>
      <c r="F91" s="2">
        <v>1388.16</v>
      </c>
      <c r="G91" s="2">
        <v>1531.35</v>
      </c>
      <c r="H91" s="2">
        <v>1712.05</v>
      </c>
      <c r="I91" s="2">
        <v>1507.07</v>
      </c>
      <c r="J91" s="2">
        <v>1700</v>
      </c>
      <c r="K91" s="2">
        <v>1700</v>
      </c>
      <c r="L91" s="2">
        <v>1700</v>
      </c>
      <c r="M91" s="2">
        <v>1700</v>
      </c>
      <c r="N91" s="2">
        <v>1700</v>
      </c>
      <c r="O91" s="2">
        <v>1700</v>
      </c>
      <c r="P91" s="9"/>
      <c r="Q91" s="2">
        <f>SUM(OSRRefD21_9_0x)+IFERROR(SUM(OSRRefE21_9_0x),0)</f>
        <v>20030.519999999997</v>
      </c>
    </row>
    <row r="92" spans="1:17" s="35" customFormat="1" collapsed="1" x14ac:dyDescent="0.3">
      <c r="A92" s="34"/>
      <c r="B92" s="14" t="str">
        <f>CONCATENATE("     ","Freight out/Postage                               ")</f>
        <v xml:space="preserve">     Freight out/Postage                               </v>
      </c>
      <c r="C92" s="14"/>
      <c r="D92" s="1">
        <f>SUM(OSRRefD21_10x_0)</f>
        <v>3589.6099999999997</v>
      </c>
      <c r="E92" s="1">
        <f>SUM(OSRRefD21_10x_1)</f>
        <v>-19372.54</v>
      </c>
      <c r="F92" s="1">
        <f>SUM(OSRRefD21_10x_2)</f>
        <v>3653.1299999999992</v>
      </c>
      <c r="G92" s="1">
        <f>SUM(OSRRefD21_10x_3)</f>
        <v>-23519.489999999998</v>
      </c>
      <c r="H92" s="1">
        <f>SUM(OSRRefD21_10x_4)</f>
        <v>5663.0599999999995</v>
      </c>
      <c r="I92" s="1">
        <f>SUM(OSRRefD21_10x_5)</f>
        <v>-2180.9800000000014</v>
      </c>
      <c r="J92" s="1">
        <f>SUM(OSRRefE21_10x_0)</f>
        <v>-25550</v>
      </c>
      <c r="K92" s="1">
        <f>SUM(OSRRefE21_10x_1)</f>
        <v>1950</v>
      </c>
      <c r="L92" s="1">
        <f>SUM(OSRRefE21_10x_2)</f>
        <v>3350</v>
      </c>
      <c r="M92" s="1">
        <f>SUM(OSRRefE21_10x_3)</f>
        <v>-550</v>
      </c>
      <c r="N92" s="1">
        <f>SUM(OSRRefE21_10x_4)</f>
        <v>-1850</v>
      </c>
      <c r="O92" s="1">
        <f>SUM(OSRRefE21_10x_5)</f>
        <v>-2350</v>
      </c>
      <c r="Q92" s="2">
        <f>SUM(OSRRefD20_10x)+IFERROR(SUM(OSRRefE20_10x),0)</f>
        <v>-57167.210000000006</v>
      </c>
    </row>
    <row r="93" spans="1:17" s="35" customFormat="1" hidden="1" outlineLevel="1" x14ac:dyDescent="0.3">
      <c r="A93" s="34"/>
      <c r="B93" s="10" t="str">
        <f>CONCATENATE("          ","6305", " - ","FREIGHT OUT")</f>
        <v xml:space="preserve">          6305 - FREIGHT OUT</v>
      </c>
      <c r="C93" s="14"/>
      <c r="D93" s="2">
        <v>10889.5</v>
      </c>
      <c r="E93" s="2">
        <v>4399.6499999999996</v>
      </c>
      <c r="F93" s="2">
        <v>13290.66</v>
      </c>
      <c r="G93" s="2">
        <v>26185.08</v>
      </c>
      <c r="H93" s="2">
        <v>11063.73</v>
      </c>
      <c r="I93" s="2">
        <v>12270.64</v>
      </c>
      <c r="J93" s="2">
        <v>15850</v>
      </c>
      <c r="K93" s="2">
        <v>23850</v>
      </c>
      <c r="L93" s="2">
        <v>9250</v>
      </c>
      <c r="M93" s="2">
        <v>3850</v>
      </c>
      <c r="N93" s="2">
        <v>2550</v>
      </c>
      <c r="O93" s="2">
        <v>2050</v>
      </c>
      <c r="P93" s="9"/>
      <c r="Q93" s="2">
        <f>SUM(OSRRefD21_10_0x)+IFERROR(SUM(OSRRefE21_10_0x),0)</f>
        <v>135499.26</v>
      </c>
    </row>
    <row r="94" spans="1:17" s="35" customFormat="1" hidden="1" outlineLevel="1" x14ac:dyDescent="0.3">
      <c r="A94" s="34"/>
      <c r="B94" s="10" t="str">
        <f>CONCATENATE("          ","6307", " - ","POSTAGE")</f>
        <v xml:space="preserve">          6307 - POSTAGE</v>
      </c>
      <c r="C94" s="14"/>
      <c r="D94" s="2">
        <v>-7299.89</v>
      </c>
      <c r="E94" s="2">
        <v>-23772.19</v>
      </c>
      <c r="F94" s="2">
        <v>-9637.5300000000007</v>
      </c>
      <c r="G94" s="2">
        <v>-49704.57</v>
      </c>
      <c r="H94" s="2">
        <v>-5400.67</v>
      </c>
      <c r="I94" s="2">
        <v>-14451.62</v>
      </c>
      <c r="J94" s="2">
        <v>-41400</v>
      </c>
      <c r="K94" s="2">
        <v>-21900</v>
      </c>
      <c r="L94" s="2">
        <v>-5900</v>
      </c>
      <c r="M94" s="2">
        <v>-4400</v>
      </c>
      <c r="N94" s="2">
        <v>-4400</v>
      </c>
      <c r="O94" s="2">
        <v>-4400</v>
      </c>
      <c r="P94" s="9"/>
      <c r="Q94" s="2">
        <f>SUM(OSRRefD21_10_1x)+IFERROR(SUM(OSRRefE21_10_1x),0)</f>
        <v>-192666.46999999997</v>
      </c>
    </row>
    <row r="95" spans="1:17" s="35" customFormat="1" collapsed="1" x14ac:dyDescent="0.3">
      <c r="A95" s="34"/>
      <c r="B95" s="14" t="str">
        <f>CONCATENATE("     ","General                                           ")</f>
        <v xml:space="preserve">     General                                           </v>
      </c>
      <c r="C95" s="14"/>
      <c r="D95" s="1">
        <f>SUM(OSRRefD21_11x_0)</f>
        <v>778</v>
      </c>
      <c r="E95" s="1">
        <f>SUM(OSRRefD21_11x_1)</f>
        <v>997.29</v>
      </c>
      <c r="F95" s="1">
        <f>SUM(OSRRefD21_11x_2)</f>
        <v>91.31</v>
      </c>
      <c r="G95" s="1">
        <f>SUM(OSRRefD21_11x_3)</f>
        <v>327.5</v>
      </c>
      <c r="H95" s="1">
        <f>SUM(OSRRefD21_11x_4)</f>
        <v>1135.0899999999999</v>
      </c>
      <c r="I95" s="1">
        <f>SUM(OSRRefD21_11x_5)</f>
        <v>1002</v>
      </c>
      <c r="J95" s="1">
        <f>SUM(OSRRefE21_11x_0)</f>
        <v>200</v>
      </c>
      <c r="K95" s="1">
        <f>SUM(OSRRefE21_11x_1)</f>
        <v>325</v>
      </c>
      <c r="L95" s="1">
        <f>SUM(OSRRefE21_11x_2)</f>
        <v>200</v>
      </c>
      <c r="M95" s="1">
        <f>SUM(OSRRefE21_11x_3)</f>
        <v>700</v>
      </c>
      <c r="N95" s="1">
        <f>SUM(OSRRefE21_11x_4)</f>
        <v>950</v>
      </c>
      <c r="O95" s="1">
        <f>SUM(OSRRefE21_11x_5)</f>
        <v>1200</v>
      </c>
      <c r="Q95" s="2">
        <f>SUM(OSRRefD20_11x)+IFERROR(SUM(OSRRefE20_11x),0)</f>
        <v>7906.19</v>
      </c>
    </row>
    <row r="96" spans="1:17" s="35" customFormat="1" hidden="1" outlineLevel="1" x14ac:dyDescent="0.3">
      <c r="A96" s="34"/>
      <c r="B96" s="10" t="str">
        <f>CONCATENATE("          ","6279", " - ","GENERAL EXPENSE")</f>
        <v xml:space="preserve">          6279 - GENERAL EXPENSE</v>
      </c>
      <c r="C96" s="14"/>
      <c r="D96" s="2">
        <v>778</v>
      </c>
      <c r="E96" s="2">
        <v>997.29</v>
      </c>
      <c r="F96" s="2">
        <v>91.31</v>
      </c>
      <c r="G96" s="2">
        <v>327.5</v>
      </c>
      <c r="H96" s="2">
        <v>1135.0899999999999</v>
      </c>
      <c r="I96" s="2">
        <v>1002</v>
      </c>
      <c r="J96" s="2">
        <v>200</v>
      </c>
      <c r="K96" s="2">
        <v>325</v>
      </c>
      <c r="L96" s="2">
        <v>200</v>
      </c>
      <c r="M96" s="2">
        <v>700</v>
      </c>
      <c r="N96" s="2">
        <v>950</v>
      </c>
      <c r="O96" s="2">
        <v>1200</v>
      </c>
      <c r="P96" s="9"/>
      <c r="Q96" s="2">
        <f>SUM(OSRRefD21_11_0x)+IFERROR(SUM(OSRRefE21_11_0x),0)</f>
        <v>7906.19</v>
      </c>
    </row>
    <row r="97" spans="1:17" s="35" customFormat="1" collapsed="1" x14ac:dyDescent="0.3">
      <c r="A97" s="34"/>
      <c r="B97" s="14" t="str">
        <f>CONCATENATE("     ","Insurance                                         ")</f>
        <v xml:space="preserve">     Insurance                                         </v>
      </c>
      <c r="C97" s="14"/>
      <c r="D97" s="1">
        <f>SUM(OSRRefD21_12x_0)</f>
        <v>5494.57</v>
      </c>
      <c r="E97" s="1">
        <f>SUM(OSRRefD21_12x_1)</f>
        <v>5494.57</v>
      </c>
      <c r="F97" s="1">
        <f>SUM(OSRRefD21_12x_2)</f>
        <v>5494.57</v>
      </c>
      <c r="G97" s="1">
        <f>SUM(OSRRefD21_12x_3)</f>
        <v>5494.57</v>
      </c>
      <c r="H97" s="1">
        <f>SUM(OSRRefD21_12x_4)</f>
        <v>5494.57</v>
      </c>
      <c r="I97" s="1">
        <f>SUM(OSRRefD21_12x_5)</f>
        <v>5494.57</v>
      </c>
      <c r="J97" s="1">
        <f>SUM(OSRRefE21_12x_0)</f>
        <v>5375</v>
      </c>
      <c r="K97" s="1">
        <f>SUM(OSRRefE21_12x_1)</f>
        <v>5375</v>
      </c>
      <c r="L97" s="1">
        <f>SUM(OSRRefE21_12x_2)</f>
        <v>5375</v>
      </c>
      <c r="M97" s="1">
        <f>SUM(OSRRefE21_12x_3)</f>
        <v>5375</v>
      </c>
      <c r="N97" s="1">
        <f>SUM(OSRRefE21_12x_4)</f>
        <v>5375</v>
      </c>
      <c r="O97" s="1">
        <f>SUM(OSRRefE21_12x_5)</f>
        <v>5375</v>
      </c>
      <c r="Q97" s="2">
        <f>SUM(OSRRefD20_12x)+IFERROR(SUM(OSRRefE20_12x),0)</f>
        <v>65217.42</v>
      </c>
    </row>
    <row r="98" spans="1:17" s="35" customFormat="1" hidden="1" outlineLevel="1" x14ac:dyDescent="0.3">
      <c r="A98" s="34"/>
      <c r="B98" s="10" t="str">
        <f>CONCATENATE("          ","6314", " - ","LIABILITY INSURANCE")</f>
        <v xml:space="preserve">          6314 - LIABILITY INSURANCE</v>
      </c>
      <c r="C98" s="14"/>
      <c r="D98" s="2">
        <v>5494.57</v>
      </c>
      <c r="E98" s="2">
        <v>5494.57</v>
      </c>
      <c r="F98" s="2">
        <v>5494.57</v>
      </c>
      <c r="G98" s="2">
        <v>5494.57</v>
      </c>
      <c r="H98" s="2">
        <v>5494.57</v>
      </c>
      <c r="I98" s="2">
        <v>5494.57</v>
      </c>
      <c r="J98" s="2">
        <v>5375</v>
      </c>
      <c r="K98" s="2">
        <v>5375</v>
      </c>
      <c r="L98" s="2">
        <v>5375</v>
      </c>
      <c r="M98" s="2">
        <v>5375</v>
      </c>
      <c r="N98" s="2">
        <v>5375</v>
      </c>
      <c r="O98" s="2">
        <v>5375</v>
      </c>
      <c r="P98" s="9"/>
      <c r="Q98" s="2">
        <f>SUM(OSRRefD21_12_0x)+IFERROR(SUM(OSRRefE21_12_0x),0)</f>
        <v>65217.42</v>
      </c>
    </row>
    <row r="99" spans="1:17" s="35" customFormat="1" collapsed="1" x14ac:dyDescent="0.3">
      <c r="A99" s="34"/>
      <c r="B99" s="14" t="str">
        <f>CONCATENATE("     ","Inventory Adjustment                              ")</f>
        <v xml:space="preserve">     Inventory Adjustment                              </v>
      </c>
      <c r="C99" s="14"/>
      <c r="D99" s="1">
        <f>SUM(OSRRefD21_13x_0)</f>
        <v>5100</v>
      </c>
      <c r="E99" s="1">
        <f>SUM(OSRRefD21_13x_1)</f>
        <v>5100</v>
      </c>
      <c r="F99" s="1">
        <f>SUM(OSRRefD21_13x_2)</f>
        <v>5100</v>
      </c>
      <c r="G99" s="1">
        <f>SUM(OSRRefD21_13x_3)</f>
        <v>5100</v>
      </c>
      <c r="H99" s="1">
        <f>SUM(OSRRefD21_13x_4)</f>
        <v>5100</v>
      </c>
      <c r="I99" s="1">
        <f>SUM(OSRRefD21_13x_5)</f>
        <v>9100</v>
      </c>
      <c r="J99" s="1">
        <f>SUM(OSRRefE21_13x_0)</f>
        <v>5100</v>
      </c>
      <c r="K99" s="1">
        <f>SUM(OSRRefE21_13x_1)</f>
        <v>5100</v>
      </c>
      <c r="L99" s="1">
        <f>SUM(OSRRefE21_13x_2)</f>
        <v>5100</v>
      </c>
      <c r="M99" s="1">
        <f>SUM(OSRRefE21_13x_3)</f>
        <v>5100</v>
      </c>
      <c r="N99" s="1">
        <f>SUM(OSRRefE21_13x_4)</f>
        <v>5100</v>
      </c>
      <c r="O99" s="1">
        <f>SUM(OSRRefE21_13x_5)</f>
        <v>19100</v>
      </c>
      <c r="Q99" s="2">
        <f>SUM(OSRRefD20_13x)+IFERROR(SUM(OSRRefE20_13x),0)</f>
        <v>79200</v>
      </c>
    </row>
    <row r="100" spans="1:17" s="35" customFormat="1" hidden="1" outlineLevel="1" x14ac:dyDescent="0.3">
      <c r="A100" s="34"/>
      <c r="B100" s="10" t="str">
        <f>CONCATENATE("          ","6408", " - ","INVENTORY ADJUSTMENT")</f>
        <v xml:space="preserve">          6408 - INVENTORY ADJUSTMENT</v>
      </c>
      <c r="C100" s="14"/>
      <c r="D100" s="2">
        <v>5100</v>
      </c>
      <c r="E100" s="2">
        <v>5100</v>
      </c>
      <c r="F100" s="2">
        <v>5100</v>
      </c>
      <c r="G100" s="2">
        <v>5100</v>
      </c>
      <c r="H100" s="2">
        <v>5100</v>
      </c>
      <c r="I100" s="2">
        <v>9100</v>
      </c>
      <c r="J100" s="2">
        <v>5100</v>
      </c>
      <c r="K100" s="2">
        <v>5100</v>
      </c>
      <c r="L100" s="2">
        <v>5100</v>
      </c>
      <c r="M100" s="2">
        <v>5100</v>
      </c>
      <c r="N100" s="2">
        <v>5100</v>
      </c>
      <c r="O100" s="2">
        <v>19100</v>
      </c>
      <c r="P100" s="9"/>
      <c r="Q100" s="2">
        <f>SUM(OSRRefD21_13_0x)+IFERROR(SUM(OSRRefE21_13_0x),0)</f>
        <v>79200</v>
      </c>
    </row>
    <row r="101" spans="1:17" s="35" customFormat="1" collapsed="1" x14ac:dyDescent="0.3">
      <c r="A101" s="34"/>
      <c r="B101" s="14" t="str">
        <f>CONCATENATE("     ","Professional Services                             ")</f>
        <v xml:space="preserve">     Professional Services                             </v>
      </c>
      <c r="C101" s="14"/>
      <c r="D101" s="1">
        <f>SUM(OSRRefD21_14x_0)</f>
        <v>0</v>
      </c>
      <c r="E101" s="1">
        <f>SUM(OSRRefD21_14x_1)</f>
        <v>0</v>
      </c>
      <c r="F101" s="1">
        <f>SUM(OSRRefD21_14x_2)</f>
        <v>0</v>
      </c>
      <c r="G101" s="1">
        <f>SUM(OSRRefD21_14x_3)</f>
        <v>8186.53</v>
      </c>
      <c r="H101" s="1">
        <f>SUM(OSRRefD21_14x_4)</f>
        <v>0</v>
      </c>
      <c r="I101" s="1">
        <f>SUM(OSRRefD21_14x_5)</f>
        <v>0</v>
      </c>
      <c r="J101" s="1">
        <f>SUM(OSRRefE21_14x_0)</f>
        <v>250</v>
      </c>
      <c r="K101" s="1">
        <f>SUM(OSRRefE21_14x_1)</f>
        <v>0</v>
      </c>
      <c r="L101" s="1">
        <f>SUM(OSRRefE21_14x_2)</f>
        <v>0</v>
      </c>
      <c r="M101" s="1">
        <f>SUM(OSRRefE21_14x_3)</f>
        <v>250</v>
      </c>
      <c r="N101" s="1">
        <f>SUM(OSRRefE21_14x_4)</f>
        <v>0</v>
      </c>
      <c r="O101" s="1">
        <f>SUM(OSRRefE21_14x_5)</f>
        <v>0</v>
      </c>
      <c r="Q101" s="2">
        <f>SUM(OSRRefD20_14x)+IFERROR(SUM(OSRRefE20_14x),0)</f>
        <v>8686.5299999999988</v>
      </c>
    </row>
    <row r="102" spans="1:17" s="35" customFormat="1" hidden="1" outlineLevel="1" x14ac:dyDescent="0.3">
      <c r="A102" s="34"/>
      <c r="B102" s="10" t="str">
        <f>CONCATENATE("          ","6336", " - ","PROFESSIONAL SERVICES")</f>
        <v xml:space="preserve">          6336 - PROFESSIONAL SERVICES</v>
      </c>
      <c r="C102" s="14"/>
      <c r="D102" s="2"/>
      <c r="E102" s="2"/>
      <c r="F102" s="2"/>
      <c r="G102" s="2">
        <v>8186.53</v>
      </c>
      <c r="H102" s="2"/>
      <c r="I102" s="2"/>
      <c r="J102" s="2">
        <v>250</v>
      </c>
      <c r="K102" s="2">
        <v>0</v>
      </c>
      <c r="L102" s="2">
        <v>0</v>
      </c>
      <c r="M102" s="2">
        <v>250</v>
      </c>
      <c r="N102" s="2">
        <v>0</v>
      </c>
      <c r="O102" s="2">
        <v>0</v>
      </c>
      <c r="P102" s="9"/>
      <c r="Q102" s="2">
        <f>SUM(OSRRefD21_14_0x)+IFERROR(SUM(OSRRefE21_14_0x),0)</f>
        <v>8686.5299999999988</v>
      </c>
    </row>
    <row r="103" spans="1:17" s="35" customFormat="1" collapsed="1" x14ac:dyDescent="0.3">
      <c r="A103" s="34"/>
      <c r="B103" s="14" t="str">
        <f>CONCATENATE("     ","Rent                                              ")</f>
        <v xml:space="preserve">     Rent                                              </v>
      </c>
      <c r="C103" s="14"/>
      <c r="D103" s="1">
        <f>SUM(OSRRefD21_15x_0)</f>
        <v>6100</v>
      </c>
      <c r="E103" s="1">
        <f>SUM(OSRRefD21_15x_1)</f>
        <v>6100</v>
      </c>
      <c r="F103" s="1">
        <f>SUM(OSRRefD21_15x_2)</f>
        <v>6100</v>
      </c>
      <c r="G103" s="1">
        <f>SUM(OSRRefD21_15x_3)</f>
        <v>6100</v>
      </c>
      <c r="H103" s="1">
        <f>SUM(OSRRefD21_15x_4)</f>
        <v>6100</v>
      </c>
      <c r="I103" s="1">
        <f>SUM(OSRRefD21_15x_5)</f>
        <v>6100</v>
      </c>
      <c r="J103" s="1">
        <f>SUM(OSRRefE21_15x_0)</f>
        <v>6100</v>
      </c>
      <c r="K103" s="1">
        <f>SUM(OSRRefE21_15x_1)</f>
        <v>6100</v>
      </c>
      <c r="L103" s="1">
        <f>SUM(OSRRefE21_15x_2)</f>
        <v>6100</v>
      </c>
      <c r="M103" s="1">
        <f>SUM(OSRRefE21_15x_3)</f>
        <v>6100</v>
      </c>
      <c r="N103" s="1">
        <f>SUM(OSRRefE21_15x_4)</f>
        <v>6100</v>
      </c>
      <c r="O103" s="1">
        <f>SUM(OSRRefE21_15x_5)</f>
        <v>6100</v>
      </c>
      <c r="Q103" s="2">
        <f>SUM(OSRRefD20_15x)+IFERROR(SUM(OSRRefE20_15x),0)</f>
        <v>73200</v>
      </c>
    </row>
    <row r="104" spans="1:17" s="35" customFormat="1" hidden="1" outlineLevel="1" x14ac:dyDescent="0.3">
      <c r="A104" s="34"/>
      <c r="B104" s="10" t="str">
        <f>CONCATENATE("          ","6273", " - ","RENT")</f>
        <v xml:space="preserve">          6273 - RENT</v>
      </c>
      <c r="C104" s="14"/>
      <c r="D104" s="2">
        <v>6100</v>
      </c>
      <c r="E104" s="2">
        <v>6100</v>
      </c>
      <c r="F104" s="2">
        <v>6100</v>
      </c>
      <c r="G104" s="2">
        <v>6100</v>
      </c>
      <c r="H104" s="2">
        <v>6100</v>
      </c>
      <c r="I104" s="2">
        <v>6100</v>
      </c>
      <c r="J104" s="2">
        <v>6100</v>
      </c>
      <c r="K104" s="2">
        <v>6100</v>
      </c>
      <c r="L104" s="2">
        <v>6100</v>
      </c>
      <c r="M104" s="2">
        <v>6100</v>
      </c>
      <c r="N104" s="2">
        <v>6100</v>
      </c>
      <c r="O104" s="2">
        <v>6100</v>
      </c>
      <c r="P104" s="9"/>
      <c r="Q104" s="2">
        <f>SUM(OSRRefD21_15_0x)+IFERROR(SUM(OSRRefE21_15_0x),0)</f>
        <v>73200</v>
      </c>
    </row>
    <row r="105" spans="1:17" s="35" customFormat="1" collapsed="1" x14ac:dyDescent="0.3">
      <c r="A105" s="34"/>
      <c r="B105" s="14" t="str">
        <f>CONCATENATE("     ","Repair and Maintenance                            ")</f>
        <v xml:space="preserve">     Repair and Maintenance                            </v>
      </c>
      <c r="C105" s="14"/>
      <c r="D105" s="1">
        <f>SUM(OSRRefD21_16x_0)</f>
        <v>64762.729999999996</v>
      </c>
      <c r="E105" s="1">
        <f>SUM(OSRRefD21_16x_1)</f>
        <v>8064.33</v>
      </c>
      <c r="F105" s="1">
        <f>SUM(OSRRefD21_16x_2)</f>
        <v>4189.5</v>
      </c>
      <c r="G105" s="1">
        <f>SUM(OSRRefD21_16x_3)</f>
        <v>12440.880000000001</v>
      </c>
      <c r="H105" s="1">
        <f>SUM(OSRRefD21_16x_4)</f>
        <v>1338.03</v>
      </c>
      <c r="I105" s="1">
        <f>SUM(OSRRefD21_16x_5)</f>
        <v>7012.15</v>
      </c>
      <c r="J105" s="1">
        <f>SUM(OSRRefE21_16x_0)</f>
        <v>11245</v>
      </c>
      <c r="K105" s="1">
        <f>SUM(OSRRefE21_16x_1)</f>
        <v>30945</v>
      </c>
      <c r="L105" s="1">
        <f>SUM(OSRRefE21_16x_2)</f>
        <v>10745</v>
      </c>
      <c r="M105" s="1">
        <f>SUM(OSRRefE21_16x_3)</f>
        <v>10745</v>
      </c>
      <c r="N105" s="1">
        <f>SUM(OSRRefE21_16x_4)</f>
        <v>10645</v>
      </c>
      <c r="O105" s="1">
        <f>SUM(OSRRefE21_16x_5)</f>
        <v>10745</v>
      </c>
      <c r="Q105" s="2">
        <f>SUM(OSRRefD20_16x)+IFERROR(SUM(OSRRefE20_16x),0)</f>
        <v>182877.62</v>
      </c>
    </row>
    <row r="106" spans="1:17" s="35" customFormat="1" hidden="1" outlineLevel="1" x14ac:dyDescent="0.3">
      <c r="A106" s="34"/>
      <c r="B106" s="10" t="str">
        <f>CONCATENATE("          ","6371", " - ","COMPUTER SOFTWARE MAINTENANCE")</f>
        <v xml:space="preserve">          6371 - COMPUTER SOFTWARE MAINTENANCE</v>
      </c>
      <c r="C106" s="14"/>
      <c r="D106" s="2">
        <v>59623.5</v>
      </c>
      <c r="E106" s="2">
        <v>0</v>
      </c>
      <c r="F106" s="2"/>
      <c r="G106" s="2">
        <v>2887.5</v>
      </c>
      <c r="H106" s="2"/>
      <c r="I106" s="2"/>
      <c r="J106" s="2">
        <v>1000</v>
      </c>
      <c r="K106" s="2">
        <v>1000</v>
      </c>
      <c r="L106" s="2">
        <v>1000</v>
      </c>
      <c r="M106" s="2">
        <v>1000</v>
      </c>
      <c r="N106" s="2">
        <v>1000</v>
      </c>
      <c r="O106" s="2">
        <v>1000</v>
      </c>
      <c r="P106" s="9"/>
      <c r="Q106" s="2">
        <f>SUM(OSRRefD21_16_0x)+IFERROR(SUM(OSRRefE21_16_0x),0)</f>
        <v>68511</v>
      </c>
    </row>
    <row r="107" spans="1:17" s="35" customFormat="1" hidden="1" outlineLevel="1" x14ac:dyDescent="0.3">
      <c r="A107" s="34"/>
      <c r="B107" s="10" t="str">
        <f>CONCATENATE("          ","6372", " - ","COMPUTER HARDWARE MAINTENANCE")</f>
        <v xml:space="preserve">          6372 - COMPUTER HARDWARE MAINTENANCE</v>
      </c>
      <c r="C107" s="14"/>
      <c r="D107" s="2"/>
      <c r="E107" s="2"/>
      <c r="F107" s="2"/>
      <c r="G107" s="2"/>
      <c r="H107" s="2"/>
      <c r="I107" s="2"/>
      <c r="J107" s="2">
        <v>3750</v>
      </c>
      <c r="K107" s="2">
        <v>3750</v>
      </c>
      <c r="L107" s="2">
        <v>3750</v>
      </c>
      <c r="M107" s="2">
        <v>3750</v>
      </c>
      <c r="N107" s="2">
        <v>3750</v>
      </c>
      <c r="O107" s="2">
        <v>3750</v>
      </c>
      <c r="P107" s="9"/>
      <c r="Q107" s="2">
        <f>SUM(OSRRefD21_16_1x)+IFERROR(SUM(OSRRefE21_16_1x),0)</f>
        <v>22500</v>
      </c>
    </row>
    <row r="108" spans="1:17" s="35" customFormat="1" hidden="1" outlineLevel="1" x14ac:dyDescent="0.3">
      <c r="A108" s="34"/>
      <c r="B108" s="10" t="str">
        <f>CONCATENATE("          ","6373", " - ","MAINTENANCE CONTRACTS")</f>
        <v xml:space="preserve">          6373 - MAINTENANCE CONTRACTS</v>
      </c>
      <c r="C108" s="14"/>
      <c r="D108" s="2">
        <v>654.63</v>
      </c>
      <c r="E108" s="2">
        <v>6010.42</v>
      </c>
      <c r="F108" s="2">
        <v>1366.9</v>
      </c>
      <c r="G108" s="2">
        <v>4034.78</v>
      </c>
      <c r="H108" s="2">
        <v>179.27</v>
      </c>
      <c r="I108" s="2">
        <v>2237.17</v>
      </c>
      <c r="J108" s="2">
        <v>5955</v>
      </c>
      <c r="K108" s="2">
        <v>26155</v>
      </c>
      <c r="L108" s="2">
        <v>5955</v>
      </c>
      <c r="M108" s="2">
        <v>5955</v>
      </c>
      <c r="N108" s="2">
        <v>5855</v>
      </c>
      <c r="O108" s="2">
        <v>5955</v>
      </c>
      <c r="P108" s="9"/>
      <c r="Q108" s="2">
        <f>SUM(OSRRefD21_16_2x)+IFERROR(SUM(OSRRefE21_16_2x),0)</f>
        <v>70313.17</v>
      </c>
    </row>
    <row r="109" spans="1:17" s="35" customFormat="1" hidden="1" outlineLevel="1" x14ac:dyDescent="0.3">
      <c r="A109" s="34"/>
      <c r="B109" s="10" t="str">
        <f>CONCATENATE("          ","6375", " - ","OUTSIDE REPAIRS &amp; MAINTENANCE")</f>
        <v xml:space="preserve">          6375 - OUTSIDE REPAIRS &amp; MAINTENANCE</v>
      </c>
      <c r="C109" s="14"/>
      <c r="D109" s="2">
        <v>4484.6000000000004</v>
      </c>
      <c r="E109" s="2">
        <v>2053.91</v>
      </c>
      <c r="F109" s="2">
        <v>2822.6</v>
      </c>
      <c r="G109" s="2">
        <v>5518.6</v>
      </c>
      <c r="H109" s="2">
        <v>1158.76</v>
      </c>
      <c r="I109" s="2">
        <v>4774.9799999999996</v>
      </c>
      <c r="J109" s="2">
        <v>540</v>
      </c>
      <c r="K109" s="2">
        <v>40</v>
      </c>
      <c r="L109" s="2">
        <v>40</v>
      </c>
      <c r="M109" s="2">
        <v>40</v>
      </c>
      <c r="N109" s="2">
        <v>40</v>
      </c>
      <c r="O109" s="2">
        <v>40</v>
      </c>
      <c r="P109" s="9"/>
      <c r="Q109" s="2">
        <f>SUM(OSRRefD21_16_3x)+IFERROR(SUM(OSRRefE21_16_3x),0)</f>
        <v>21553.45</v>
      </c>
    </row>
    <row r="110" spans="1:17" s="35" customFormat="1" collapsed="1" x14ac:dyDescent="0.3">
      <c r="A110" s="34"/>
      <c r="B110" s="14" t="str">
        <f>CONCATENATE("     ","Royalty &amp; Commissions                             ")</f>
        <v xml:space="preserve">     Royalty &amp; Commissions                             </v>
      </c>
      <c r="C110" s="14"/>
      <c r="D110" s="1">
        <f>SUM(OSRRefD21_17x_0)</f>
        <v>7355.1000000000013</v>
      </c>
      <c r="E110" s="1">
        <f>SUM(OSRRefD21_17x_1)</f>
        <v>601.89</v>
      </c>
      <c r="F110" s="1">
        <f>SUM(OSRRefD21_17x_2)</f>
        <v>1174.22</v>
      </c>
      <c r="G110" s="1">
        <f>SUM(OSRRefD21_17x_3)</f>
        <v>10709.72</v>
      </c>
      <c r="H110" s="1">
        <f>SUM(OSRRefD21_17x_4)</f>
        <v>784.77</v>
      </c>
      <c r="I110" s="1">
        <f>SUM(OSRRefD21_17x_5)</f>
        <v>1121.23</v>
      </c>
      <c r="J110" s="1">
        <f>SUM(OSRRefE21_17x_0)</f>
        <v>19106</v>
      </c>
      <c r="K110" s="1">
        <f>SUM(OSRRefE21_17x_1)</f>
        <v>5446</v>
      </c>
      <c r="L110" s="1">
        <f>SUM(OSRRefE21_17x_2)</f>
        <v>2685</v>
      </c>
      <c r="M110" s="1">
        <f>SUM(OSRRefE21_17x_3)</f>
        <v>17203</v>
      </c>
      <c r="N110" s="1">
        <f>SUM(OSRRefE21_17x_4)</f>
        <v>9656</v>
      </c>
      <c r="O110" s="1">
        <f>SUM(OSRRefE21_17x_5)</f>
        <v>9822</v>
      </c>
      <c r="Q110" s="2">
        <f>SUM(OSRRefD20_17x)+IFERROR(SUM(OSRRefE20_17x),0)</f>
        <v>85664.93</v>
      </c>
    </row>
    <row r="111" spans="1:17" s="35" customFormat="1" hidden="1" outlineLevel="1" x14ac:dyDescent="0.3">
      <c r="A111" s="34"/>
      <c r="B111" s="10" t="str">
        <f>CONCATENATE("          ","6252", " - ","ROYALTY DUE CSTV")</f>
        <v xml:space="preserve">          6252 - ROYALTY DUE CSTV</v>
      </c>
      <c r="C111" s="14"/>
      <c r="D111" s="2"/>
      <c r="E111" s="2"/>
      <c r="F111" s="2"/>
      <c r="G111" s="2"/>
      <c r="H111" s="2"/>
      <c r="I111" s="2"/>
      <c r="J111" s="2">
        <v>821</v>
      </c>
      <c r="K111" s="2">
        <v>446</v>
      </c>
      <c r="L111" s="2">
        <v>1085</v>
      </c>
      <c r="M111" s="2">
        <v>948</v>
      </c>
      <c r="N111" s="2">
        <v>2156</v>
      </c>
      <c r="O111" s="2">
        <v>3322</v>
      </c>
      <c r="P111" s="9"/>
      <c r="Q111" s="2">
        <f>SUM(OSRRefD21_17_0x)+IFERROR(SUM(OSRRefE21_17_0x),0)</f>
        <v>8778</v>
      </c>
    </row>
    <row r="112" spans="1:17" s="35" customFormat="1" hidden="1" outlineLevel="1" x14ac:dyDescent="0.3">
      <c r="A112" s="34"/>
      <c r="B112" s="10" t="str">
        <f>CONCATENATE("          ","6253", " - ","ROYALTY DUE ATHLETICS-LRG")</f>
        <v xml:space="preserve">          6253 - ROYALTY DUE ATHLETICS-LRG</v>
      </c>
      <c r="C112" s="14"/>
      <c r="D112" s="2">
        <v>14376.54</v>
      </c>
      <c r="E112" s="2"/>
      <c r="F112" s="2"/>
      <c r="G112" s="2">
        <v>8783.75</v>
      </c>
      <c r="H112" s="2"/>
      <c r="I112" s="2"/>
      <c r="J112" s="2">
        <v>7785</v>
      </c>
      <c r="K112" s="2">
        <v>0</v>
      </c>
      <c r="L112" s="2">
        <v>0</v>
      </c>
      <c r="M112" s="2">
        <v>14555</v>
      </c>
      <c r="N112" s="2">
        <v>0</v>
      </c>
      <c r="O112" s="2">
        <v>0</v>
      </c>
      <c r="P112" s="9"/>
      <c r="Q112" s="2">
        <f>SUM(OSRRefD21_17_1x)+IFERROR(SUM(OSRRefE21_17_1x),0)</f>
        <v>45500.29</v>
      </c>
    </row>
    <row r="113" spans="1:17" s="35" customFormat="1" hidden="1" outlineLevel="1" x14ac:dyDescent="0.3">
      <c r="A113" s="34"/>
      <c r="B113" s="10" t="str">
        <f>CONCATENATE("          ","6254", " - ","ROYALTY &amp; COMMISSIONS")</f>
        <v xml:space="preserve">          6254 - ROYALTY &amp; COMMISSIONS</v>
      </c>
      <c r="C113" s="14"/>
      <c r="D113" s="2">
        <v>-7027.5</v>
      </c>
      <c r="E113" s="2"/>
      <c r="F113" s="2"/>
      <c r="G113" s="2"/>
      <c r="H113" s="2"/>
      <c r="I113" s="2">
        <v>0</v>
      </c>
      <c r="J113" s="2">
        <v>500</v>
      </c>
      <c r="K113" s="2">
        <v>1000</v>
      </c>
      <c r="L113" s="2">
        <v>1000</v>
      </c>
      <c r="M113" s="2">
        <v>1000</v>
      </c>
      <c r="N113" s="2">
        <v>1000</v>
      </c>
      <c r="O113" s="2">
        <v>0</v>
      </c>
      <c r="P113" s="9"/>
      <c r="Q113" s="2">
        <f>SUM(OSRRefD21_17_2x)+IFERROR(SUM(OSRRefE21_17_2x),0)</f>
        <v>-2527.5</v>
      </c>
    </row>
    <row r="114" spans="1:17" s="35" customFormat="1" hidden="1" outlineLevel="1" x14ac:dyDescent="0.3">
      <c r="A114" s="34"/>
      <c r="B114" s="10" t="str">
        <f>CONCATENATE("          ","6259", " - ","ROYALTY &amp; COMMISSIONS")</f>
        <v xml:space="preserve">          6259 - ROYALTY &amp; COMMISSIONS</v>
      </c>
      <c r="C114" s="14"/>
      <c r="D114" s="2">
        <v>6.06</v>
      </c>
      <c r="E114" s="2">
        <v>601.89</v>
      </c>
      <c r="F114" s="2">
        <v>1174.22</v>
      </c>
      <c r="G114" s="2">
        <v>1925.97</v>
      </c>
      <c r="H114" s="2">
        <v>784.77</v>
      </c>
      <c r="I114" s="2">
        <v>1121.23</v>
      </c>
      <c r="J114" s="2">
        <v>10000</v>
      </c>
      <c r="K114" s="2">
        <v>4000</v>
      </c>
      <c r="L114" s="2">
        <v>600</v>
      </c>
      <c r="M114" s="2">
        <v>700</v>
      </c>
      <c r="N114" s="2">
        <v>6500</v>
      </c>
      <c r="O114" s="2">
        <v>6500</v>
      </c>
      <c r="P114" s="9"/>
      <c r="Q114" s="2">
        <f>SUM(OSRRefD21_17_3x)+IFERROR(SUM(OSRRefE21_17_3x),0)</f>
        <v>33914.14</v>
      </c>
    </row>
    <row r="115" spans="1:17" s="35" customFormat="1" collapsed="1" x14ac:dyDescent="0.3">
      <c r="A115" s="34"/>
      <c r="B115" s="14" t="str">
        <f>CONCATENATE("     ","Services                                          ")</f>
        <v xml:space="preserve">     Services                                          </v>
      </c>
      <c r="C115" s="14"/>
      <c r="D115" s="1">
        <f>SUM(OSRRefD21_18x_0)</f>
        <v>4006.32</v>
      </c>
      <c r="E115" s="1">
        <f>SUM(OSRRefD21_18x_1)</f>
        <v>12958.730000000001</v>
      </c>
      <c r="F115" s="1">
        <f>SUM(OSRRefD21_18x_2)</f>
        <v>4255.71</v>
      </c>
      <c r="G115" s="1">
        <f>SUM(OSRRefD21_18x_3)</f>
        <v>5241.84</v>
      </c>
      <c r="H115" s="1">
        <f>SUM(OSRRefD21_18x_4)</f>
        <v>4500.9799999999996</v>
      </c>
      <c r="I115" s="1">
        <f>SUM(OSRRefD21_18x_5)</f>
        <v>4823.41</v>
      </c>
      <c r="J115" s="1">
        <f>SUM(OSRRefE21_18x_0)</f>
        <v>4360</v>
      </c>
      <c r="K115" s="1">
        <f>SUM(OSRRefE21_18x_1)</f>
        <v>4360</v>
      </c>
      <c r="L115" s="1">
        <f>SUM(OSRRefE21_18x_2)</f>
        <v>4420</v>
      </c>
      <c r="M115" s="1">
        <f>SUM(OSRRefE21_18x_3)</f>
        <v>4360</v>
      </c>
      <c r="N115" s="1">
        <f>SUM(OSRRefE21_18x_4)</f>
        <v>4360</v>
      </c>
      <c r="O115" s="1">
        <f>SUM(OSRRefE21_18x_5)</f>
        <v>4420</v>
      </c>
      <c r="Q115" s="2">
        <f>SUM(OSRRefD20_18x)+IFERROR(SUM(OSRRefE20_18x),0)</f>
        <v>62066.990000000005</v>
      </c>
    </row>
    <row r="116" spans="1:17" s="35" customFormat="1" hidden="1" outlineLevel="1" x14ac:dyDescent="0.3">
      <c r="A116" s="34"/>
      <c r="B116" s="10" t="str">
        <f>CONCATENATE("          ","6282", " - ","JANITORIAL/EXTERMINATOR EXPENS")</f>
        <v xml:space="preserve">          6282 - JANITORIAL/EXTERMINATOR EXPENS</v>
      </c>
      <c r="C116" s="14"/>
      <c r="D116" s="2"/>
      <c r="E116" s="2">
        <v>291</v>
      </c>
      <c r="F116" s="2">
        <v>684.57</v>
      </c>
      <c r="G116" s="2">
        <v>753.11</v>
      </c>
      <c r="H116" s="2">
        <v>129</v>
      </c>
      <c r="I116" s="2">
        <v>267</v>
      </c>
      <c r="J116" s="2">
        <v>4300</v>
      </c>
      <c r="K116" s="2">
        <v>4300</v>
      </c>
      <c r="L116" s="2">
        <v>4300</v>
      </c>
      <c r="M116" s="2">
        <v>4300</v>
      </c>
      <c r="N116" s="2">
        <v>4300</v>
      </c>
      <c r="O116" s="2">
        <v>4300</v>
      </c>
      <c r="P116" s="9"/>
      <c r="Q116" s="2">
        <f>SUM(OSRRefD21_18_0x)+IFERROR(SUM(OSRRefE21_18_0x),0)</f>
        <v>27924.68</v>
      </c>
    </row>
    <row r="117" spans="1:17" s="35" customFormat="1" hidden="1" outlineLevel="1" x14ac:dyDescent="0.3">
      <c r="A117" s="34"/>
      <c r="B117" s="10" t="str">
        <f>CONCATENATE("          ","6284", " - ","TRASH REMOVAL EXPENSE")</f>
        <v xml:space="preserve">          6284 - TRASH REMOVAL EXPENSE</v>
      </c>
      <c r="C117" s="14"/>
      <c r="D117" s="2">
        <v>142.57</v>
      </c>
      <c r="E117" s="2">
        <v>149.69999999999999</v>
      </c>
      <c r="F117" s="2">
        <v>149.69999999999999</v>
      </c>
      <c r="G117" s="2">
        <v>149.69999999999999</v>
      </c>
      <c r="H117" s="2">
        <v>149.69999999999999</v>
      </c>
      <c r="I117" s="2">
        <v>149.69999999999999</v>
      </c>
      <c r="J117" s="2">
        <v>60</v>
      </c>
      <c r="K117" s="2">
        <v>60</v>
      </c>
      <c r="L117" s="2">
        <v>120</v>
      </c>
      <c r="M117" s="2">
        <v>60</v>
      </c>
      <c r="N117" s="2">
        <v>60</v>
      </c>
      <c r="O117" s="2">
        <v>120</v>
      </c>
      <c r="P117" s="9"/>
      <c r="Q117" s="2">
        <f>SUM(OSRRefD21_18_1x)+IFERROR(SUM(OSRRefE21_18_1x),0)</f>
        <v>1371.07</v>
      </c>
    </row>
    <row r="118" spans="1:17" s="35" customFormat="1" hidden="1" outlineLevel="1" x14ac:dyDescent="0.3">
      <c r="A118" s="34"/>
      <c r="B118" s="10" t="str">
        <f>CONCATENATE("          ","6285", " - ","JANITORIAL SERVICES")</f>
        <v xml:space="preserve">          6285 - JANITORIAL SERVICES</v>
      </c>
      <c r="C118" s="14"/>
      <c r="D118" s="2">
        <v>3863.75</v>
      </c>
      <c r="E118" s="2">
        <v>12518.03</v>
      </c>
      <c r="F118" s="2">
        <v>3421.44</v>
      </c>
      <c r="G118" s="2">
        <v>4339.03</v>
      </c>
      <c r="H118" s="2">
        <v>4222.28</v>
      </c>
      <c r="I118" s="2">
        <v>4406.71</v>
      </c>
      <c r="J118" s="2"/>
      <c r="K118" s="2"/>
      <c r="L118" s="2"/>
      <c r="M118" s="2"/>
      <c r="N118" s="2"/>
      <c r="O118" s="2"/>
      <c r="P118" s="9"/>
      <c r="Q118" s="2">
        <f>SUM(OSRRefD21_18_2x)+IFERROR(SUM(OSRRefE21_18_2x),0)</f>
        <v>32771.24</v>
      </c>
    </row>
    <row r="119" spans="1:17" s="35" customFormat="1" collapsed="1" x14ac:dyDescent="0.3">
      <c r="A119" s="34"/>
      <c r="B119" s="14" t="str">
        <f>CONCATENATE("     ","Subscriptions &amp; Dues                              ")</f>
        <v xml:space="preserve">     Subscriptions &amp; Dues                              </v>
      </c>
      <c r="C119" s="14"/>
      <c r="D119" s="1">
        <f>SUM(OSRRefD21_19x_0)</f>
        <v>68.319999999999993</v>
      </c>
      <c r="E119" s="1">
        <f>SUM(OSRRefD21_19x_1)</f>
        <v>57</v>
      </c>
      <c r="F119" s="1">
        <f>SUM(OSRRefD21_19x_2)</f>
        <v>-72.56</v>
      </c>
      <c r="G119" s="1">
        <f>SUM(OSRRefD21_19x_3)</f>
        <v>904.08</v>
      </c>
      <c r="H119" s="1">
        <f>SUM(OSRRefD21_19x_4)</f>
        <v>148.66</v>
      </c>
      <c r="I119" s="1">
        <f>SUM(OSRRefD21_19x_5)</f>
        <v>286.24</v>
      </c>
      <c r="J119" s="1">
        <f>SUM(OSRRefE21_19x_0)</f>
        <v>2381</v>
      </c>
      <c r="K119" s="1">
        <f>SUM(OSRRefE21_19x_1)</f>
        <v>1461</v>
      </c>
      <c r="L119" s="1">
        <f>SUM(OSRRefE21_19x_2)</f>
        <v>481</v>
      </c>
      <c r="M119" s="1">
        <f>SUM(OSRRefE21_19x_3)</f>
        <v>1461</v>
      </c>
      <c r="N119" s="1">
        <f>SUM(OSRRefE21_19x_4)</f>
        <v>481</v>
      </c>
      <c r="O119" s="1">
        <f>SUM(OSRRefE21_19x_5)</f>
        <v>661</v>
      </c>
      <c r="Q119" s="2">
        <f>SUM(OSRRefD20_19x)+IFERROR(SUM(OSRRefE20_19x),0)</f>
        <v>8317.74</v>
      </c>
    </row>
    <row r="120" spans="1:17" s="35" customFormat="1" hidden="1" outlineLevel="1" x14ac:dyDescent="0.3">
      <c r="A120" s="34"/>
      <c r="B120" s="10" t="str">
        <f>CONCATENATE("          ","6258", " - ","MEMBERSHIP DUES")</f>
        <v xml:space="preserve">          6258 - MEMBERSHIP DUES</v>
      </c>
      <c r="C120" s="14"/>
      <c r="D120" s="2">
        <v>68.319999999999993</v>
      </c>
      <c r="E120" s="2">
        <v>57</v>
      </c>
      <c r="F120" s="2">
        <v>-72.56</v>
      </c>
      <c r="G120" s="2">
        <v>904.08</v>
      </c>
      <c r="H120" s="2">
        <v>148.66</v>
      </c>
      <c r="I120" s="2">
        <v>286.24</v>
      </c>
      <c r="J120" s="2">
        <v>300</v>
      </c>
      <c r="K120" s="2">
        <v>1300</v>
      </c>
      <c r="L120" s="2">
        <v>300</v>
      </c>
      <c r="M120" s="2">
        <v>1300</v>
      </c>
      <c r="N120" s="2">
        <v>300</v>
      </c>
      <c r="O120" s="2">
        <v>500</v>
      </c>
      <c r="P120" s="9"/>
      <c r="Q120" s="2">
        <f>SUM(OSRRefD21_19_0x)+IFERROR(SUM(OSRRefE21_19_0x),0)</f>
        <v>5391.74</v>
      </c>
    </row>
    <row r="121" spans="1:17" s="35" customFormat="1" hidden="1" outlineLevel="1" x14ac:dyDescent="0.3">
      <c r="A121" s="34"/>
      <c r="B121" s="10" t="str">
        <f>CONCATENATE("          ","6275", " - ","SUBSCRIPTIONS")</f>
        <v xml:space="preserve">          6275 - SUBSCRIPTIONS</v>
      </c>
      <c r="C121" s="14"/>
      <c r="D121" s="2"/>
      <c r="E121" s="2"/>
      <c r="F121" s="2"/>
      <c r="G121" s="2"/>
      <c r="H121" s="2"/>
      <c r="I121" s="2"/>
      <c r="J121" s="2">
        <v>2081</v>
      </c>
      <c r="K121" s="2">
        <v>161</v>
      </c>
      <c r="L121" s="2">
        <v>181</v>
      </c>
      <c r="M121" s="2">
        <v>161</v>
      </c>
      <c r="N121" s="2">
        <v>181</v>
      </c>
      <c r="O121" s="2">
        <v>161</v>
      </c>
      <c r="P121" s="9"/>
      <c r="Q121" s="2">
        <f>SUM(OSRRefD21_19_1x)+IFERROR(SUM(OSRRefE21_19_1x),0)</f>
        <v>2926</v>
      </c>
    </row>
    <row r="122" spans="1:17" s="35" customFormat="1" collapsed="1" x14ac:dyDescent="0.3">
      <c r="A122" s="34"/>
      <c r="B122" s="14" t="str">
        <f>CONCATENATE("     ","Supplies                                          ")</f>
        <v xml:space="preserve">     Supplies                                          </v>
      </c>
      <c r="C122" s="14"/>
      <c r="D122" s="1">
        <f>SUM(OSRRefD21_20x_0)</f>
        <v>7086.3600000000006</v>
      </c>
      <c r="E122" s="1">
        <f>SUM(OSRRefD21_20x_1)</f>
        <v>15148.35</v>
      </c>
      <c r="F122" s="1">
        <f>SUM(OSRRefD21_20x_2)</f>
        <v>5351.82</v>
      </c>
      <c r="G122" s="1">
        <f>SUM(OSRRefD21_20x_3)</f>
        <v>12244.96</v>
      </c>
      <c r="H122" s="1">
        <f>SUM(OSRRefD21_20x_4)</f>
        <v>6905.02</v>
      </c>
      <c r="I122" s="1">
        <f>SUM(OSRRefD21_20x_5)</f>
        <v>5980.2800000000007</v>
      </c>
      <c r="J122" s="1">
        <f>SUM(OSRRefE21_20x_0)</f>
        <v>18230</v>
      </c>
      <c r="K122" s="1">
        <f>SUM(OSRRefE21_20x_1)</f>
        <v>13330</v>
      </c>
      <c r="L122" s="1">
        <f>SUM(OSRRefE21_20x_2)</f>
        <v>7730</v>
      </c>
      <c r="M122" s="1">
        <f>SUM(OSRRefE21_20x_3)</f>
        <v>10980</v>
      </c>
      <c r="N122" s="1">
        <f>SUM(OSRRefE21_20x_4)</f>
        <v>11920</v>
      </c>
      <c r="O122" s="1">
        <f>SUM(OSRRefE21_20x_5)</f>
        <v>7630</v>
      </c>
      <c r="Q122" s="2">
        <f>SUM(OSRRefD20_20x)+IFERROR(SUM(OSRRefE20_20x),0)</f>
        <v>122536.79</v>
      </c>
    </row>
    <row r="123" spans="1:17" s="35" customFormat="1" hidden="1" outlineLevel="1" x14ac:dyDescent="0.3">
      <c r="A123" s="34"/>
      <c r="B123" s="10" t="str">
        <f>CONCATENATE("          ","6234", " - ","EXPENDABLE SUPPLIES &amp; EQUIPMEN")</f>
        <v xml:space="preserve">          6234 - EXPENDABLE SUPPLIES &amp; EQUIPMEN</v>
      </c>
      <c r="C123" s="14"/>
      <c r="D123" s="2"/>
      <c r="E123" s="2"/>
      <c r="F123" s="2"/>
      <c r="G123" s="2">
        <v>2542.41</v>
      </c>
      <c r="H123" s="2">
        <v>2747.16</v>
      </c>
      <c r="I123" s="2"/>
      <c r="J123" s="2">
        <v>300</v>
      </c>
      <c r="K123" s="2">
        <v>300</v>
      </c>
      <c r="L123" s="2">
        <v>300</v>
      </c>
      <c r="M123" s="2">
        <v>300</v>
      </c>
      <c r="N123" s="2">
        <v>300</v>
      </c>
      <c r="O123" s="2">
        <v>300</v>
      </c>
      <c r="P123" s="9"/>
      <c r="Q123" s="2">
        <f>SUM(OSRRefD21_20_0x)+IFERROR(SUM(OSRRefE21_20_0x),0)</f>
        <v>7089.57</v>
      </c>
    </row>
    <row r="124" spans="1:17" s="35" customFormat="1" hidden="1" outlineLevel="1" x14ac:dyDescent="0.3">
      <c r="A124" s="34"/>
      <c r="B124" s="10" t="str">
        <f>CONCATENATE("          ","6235", " - ","COVID-19 EXPENSES")</f>
        <v xml:space="preserve">          6235 - COVID-19 EXPENSES</v>
      </c>
      <c r="C124" s="14"/>
      <c r="D124" s="2">
        <v>272.22000000000003</v>
      </c>
      <c r="E124" s="2">
        <v>2695.61</v>
      </c>
      <c r="F124" s="2">
        <v>462.49</v>
      </c>
      <c r="G124" s="2"/>
      <c r="H124" s="2"/>
      <c r="I124" s="2"/>
      <c r="J124" s="2">
        <v>125</v>
      </c>
      <c r="K124" s="2">
        <v>125</v>
      </c>
      <c r="L124" s="2">
        <v>125</v>
      </c>
      <c r="M124" s="2">
        <v>125</v>
      </c>
      <c r="N124" s="2">
        <v>125</v>
      </c>
      <c r="O124" s="2">
        <v>125</v>
      </c>
      <c r="P124" s="9"/>
      <c r="Q124" s="2">
        <f>SUM(OSRRefD21_20_1x)+IFERROR(SUM(OSRRefE21_20_1x),0)</f>
        <v>4180.32</v>
      </c>
    </row>
    <row r="125" spans="1:17" s="35" customFormat="1" hidden="1" outlineLevel="1" x14ac:dyDescent="0.3">
      <c r="A125" s="34"/>
      <c r="B125" s="10" t="str">
        <f>CONCATENATE("          ","6237", " - ","JANITORIAL SUPPLIES")</f>
        <v xml:space="preserve">          6237 - JANITORIAL SUPPLIES</v>
      </c>
      <c r="C125" s="14"/>
      <c r="D125" s="2">
        <v>655.97</v>
      </c>
      <c r="E125" s="2">
        <v>1169.72</v>
      </c>
      <c r="F125" s="2">
        <v>247</v>
      </c>
      <c r="G125" s="2">
        <v>1303.78</v>
      </c>
      <c r="H125" s="2">
        <v>489.67</v>
      </c>
      <c r="I125" s="2"/>
      <c r="J125" s="2">
        <v>10</v>
      </c>
      <c r="K125" s="2">
        <v>10</v>
      </c>
      <c r="L125" s="2">
        <v>10</v>
      </c>
      <c r="M125" s="2">
        <v>10</v>
      </c>
      <c r="N125" s="2">
        <v>50</v>
      </c>
      <c r="O125" s="2">
        <v>10</v>
      </c>
      <c r="P125" s="9"/>
      <c r="Q125" s="2">
        <f>SUM(OSRRefD21_20_2x)+IFERROR(SUM(OSRRefE21_20_2x),0)</f>
        <v>3966.1400000000003</v>
      </c>
    </row>
    <row r="126" spans="1:17" s="35" customFormat="1" hidden="1" outlineLevel="1" x14ac:dyDescent="0.3">
      <c r="A126" s="34"/>
      <c r="B126" s="10" t="str">
        <f>CONCATENATE("          ","6241", " - ","OFFICE EXPENSE")</f>
        <v xml:space="preserve">          6241 - OFFICE EXPENSE</v>
      </c>
      <c r="C126" s="14"/>
      <c r="D126" s="2">
        <v>406.41</v>
      </c>
      <c r="E126" s="2">
        <v>5354.33</v>
      </c>
      <c r="F126" s="2">
        <v>278.41000000000003</v>
      </c>
      <c r="G126" s="2">
        <v>990.07</v>
      </c>
      <c r="H126" s="2">
        <v>512.19000000000005</v>
      </c>
      <c r="I126" s="2">
        <v>855.37</v>
      </c>
      <c r="J126" s="2">
        <v>670</v>
      </c>
      <c r="K126" s="2">
        <v>720</v>
      </c>
      <c r="L126" s="2">
        <v>470</v>
      </c>
      <c r="M126" s="2">
        <v>470</v>
      </c>
      <c r="N126" s="2">
        <v>470</v>
      </c>
      <c r="O126" s="2">
        <v>420</v>
      </c>
      <c r="P126" s="9"/>
      <c r="Q126" s="2">
        <f>SUM(OSRRefD21_20_3x)+IFERROR(SUM(OSRRefE21_20_3x),0)</f>
        <v>11616.78</v>
      </c>
    </row>
    <row r="127" spans="1:17" s="35" customFormat="1" hidden="1" outlineLevel="1" x14ac:dyDescent="0.3">
      <c r="A127" s="34"/>
      <c r="B127" s="10" t="str">
        <f>CONCATENATE("          ","6243", " - ","PAPER SUPPLIES")</f>
        <v xml:space="preserve">          6243 - PAPER SUPPLIES</v>
      </c>
      <c r="C127" s="14"/>
      <c r="D127" s="2">
        <v>1649.24</v>
      </c>
      <c r="E127" s="2">
        <v>1801.68</v>
      </c>
      <c r="F127" s="2"/>
      <c r="G127" s="2">
        <v>735.87</v>
      </c>
      <c r="H127" s="2">
        <v>284.11</v>
      </c>
      <c r="I127" s="2"/>
      <c r="J127" s="2">
        <v>7500</v>
      </c>
      <c r="K127" s="2">
        <v>3800</v>
      </c>
      <c r="L127" s="2">
        <v>150</v>
      </c>
      <c r="M127" s="2">
        <v>4200</v>
      </c>
      <c r="N127" s="2">
        <v>2800</v>
      </c>
      <c r="O127" s="2">
        <v>1250</v>
      </c>
      <c r="P127" s="9"/>
      <c r="Q127" s="2">
        <f>SUM(OSRRefD21_20_4x)+IFERROR(SUM(OSRRefE21_20_4x),0)</f>
        <v>24170.9</v>
      </c>
    </row>
    <row r="128" spans="1:17" s="35" customFormat="1" hidden="1" outlineLevel="1" x14ac:dyDescent="0.3">
      <c r="A128" s="34"/>
      <c r="B128" s="10" t="str">
        <f>CONCATENATE("          ","6245", " - ","PRINTING")</f>
        <v xml:space="preserve">          6245 - PRINTING</v>
      </c>
      <c r="C128" s="14"/>
      <c r="D128" s="2">
        <v>251.64</v>
      </c>
      <c r="E128" s="2">
        <v>-851.82</v>
      </c>
      <c r="F128" s="2">
        <v>276.43</v>
      </c>
      <c r="G128" s="2">
        <v>296.68</v>
      </c>
      <c r="H128" s="2">
        <v>1092.56</v>
      </c>
      <c r="I128" s="2">
        <v>1046.49</v>
      </c>
      <c r="J128" s="2">
        <v>3750</v>
      </c>
      <c r="K128" s="2">
        <v>1600</v>
      </c>
      <c r="L128" s="2">
        <v>500</v>
      </c>
      <c r="M128" s="2">
        <v>50</v>
      </c>
      <c r="N128" s="2">
        <v>2300</v>
      </c>
      <c r="O128" s="2">
        <v>50</v>
      </c>
      <c r="P128" s="9"/>
      <c r="Q128" s="2">
        <f>SUM(OSRRefD21_20_5x)+IFERROR(SUM(OSRRefE21_20_5x),0)</f>
        <v>10361.98</v>
      </c>
    </row>
    <row r="129" spans="1:17" s="35" customFormat="1" hidden="1" outlineLevel="1" x14ac:dyDescent="0.3">
      <c r="A129" s="34"/>
      <c r="B129" s="10" t="str">
        <f>CONCATENATE("          ","6247", " - ","STORE SUPPLIES")</f>
        <v xml:space="preserve">          6247 - STORE SUPPLIES</v>
      </c>
      <c r="C129" s="14"/>
      <c r="D129" s="2">
        <v>3850.88</v>
      </c>
      <c r="E129" s="2">
        <v>4978.83</v>
      </c>
      <c r="F129" s="2">
        <v>4087.49</v>
      </c>
      <c r="G129" s="2">
        <v>6376.15</v>
      </c>
      <c r="H129" s="2">
        <v>1779.33</v>
      </c>
      <c r="I129" s="2">
        <v>4078.42</v>
      </c>
      <c r="J129" s="2">
        <v>5875</v>
      </c>
      <c r="K129" s="2">
        <v>6775</v>
      </c>
      <c r="L129" s="2">
        <v>6175</v>
      </c>
      <c r="M129" s="2">
        <v>5825</v>
      </c>
      <c r="N129" s="2">
        <v>5875</v>
      </c>
      <c r="O129" s="2">
        <v>5475</v>
      </c>
      <c r="P129" s="9"/>
      <c r="Q129" s="2">
        <f>SUM(OSRRefD21_20_6x)+IFERROR(SUM(OSRRefE21_20_6x),0)</f>
        <v>61151.1</v>
      </c>
    </row>
    <row r="130" spans="1:17" s="35" customFormat="1" collapsed="1" x14ac:dyDescent="0.3">
      <c r="A130" s="34"/>
      <c r="B130" s="14" t="str">
        <f>CONCATENATE("     ","Telephone/Data Lines                              ")</f>
        <v xml:space="preserve">     Telephone/Data Lines                              </v>
      </c>
      <c r="C130" s="14"/>
      <c r="D130" s="1">
        <f>SUM(OSRRefD21_21x_0)</f>
        <v>1568.44</v>
      </c>
      <c r="E130" s="1">
        <f>SUM(OSRRefD21_21x_1)</f>
        <v>2123.19</v>
      </c>
      <c r="F130" s="1">
        <f>SUM(OSRRefD21_21x_2)</f>
        <v>1526.19</v>
      </c>
      <c r="G130" s="1">
        <f>SUM(OSRRefD21_21x_3)</f>
        <v>2403.89</v>
      </c>
      <c r="H130" s="1">
        <f>SUM(OSRRefD21_21x_4)</f>
        <v>1871.64</v>
      </c>
      <c r="I130" s="1">
        <f>SUM(OSRRefD21_21x_5)</f>
        <v>1165.51</v>
      </c>
      <c r="J130" s="1">
        <f>SUM(OSRRefE21_21x_0)</f>
        <v>1835</v>
      </c>
      <c r="K130" s="1">
        <f>SUM(OSRRefE21_21x_1)</f>
        <v>1735</v>
      </c>
      <c r="L130" s="1">
        <f>SUM(OSRRefE21_21x_2)</f>
        <v>1735</v>
      </c>
      <c r="M130" s="1">
        <f>SUM(OSRRefE21_21x_3)</f>
        <v>1735</v>
      </c>
      <c r="N130" s="1">
        <f>SUM(OSRRefE21_21x_4)</f>
        <v>1735</v>
      </c>
      <c r="O130" s="1">
        <f>SUM(OSRRefE21_21x_5)</f>
        <v>1735</v>
      </c>
      <c r="Q130" s="2">
        <f>SUM(OSRRefD20_21x)+IFERROR(SUM(OSRRefE20_21x),0)</f>
        <v>21168.86</v>
      </c>
    </row>
    <row r="131" spans="1:17" s="35" customFormat="1" hidden="1" outlineLevel="1" x14ac:dyDescent="0.3">
      <c r="A131" s="34"/>
      <c r="B131" s="10" t="str">
        <f>CONCATENATE("          ","6303", " - ","DATA PHONE LINES")</f>
        <v xml:space="preserve">          6303 - DATA PHONE LINES</v>
      </c>
      <c r="C131" s="14"/>
      <c r="D131" s="2">
        <v>295</v>
      </c>
      <c r="E131" s="2"/>
      <c r="F131" s="2"/>
      <c r="G131" s="2"/>
      <c r="H131" s="2"/>
      <c r="I131" s="2"/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9"/>
      <c r="Q131" s="2">
        <f>SUM(OSRRefD21_21_0x)+IFERROR(SUM(OSRRefE21_21_0x),0)</f>
        <v>295</v>
      </c>
    </row>
    <row r="132" spans="1:17" s="35" customFormat="1" hidden="1" outlineLevel="1" x14ac:dyDescent="0.3">
      <c r="A132" s="34"/>
      <c r="B132" s="10" t="str">
        <f>CONCATENATE("          ","6309", " - ","TELEPHONE")</f>
        <v xml:space="preserve">          6309 - TELEPHONE</v>
      </c>
      <c r="C132" s="14"/>
      <c r="D132" s="2">
        <v>1273.44</v>
      </c>
      <c r="E132" s="2">
        <v>2123.19</v>
      </c>
      <c r="F132" s="2">
        <v>1526.19</v>
      </c>
      <c r="G132" s="2">
        <v>2403.89</v>
      </c>
      <c r="H132" s="2">
        <v>1871.64</v>
      </c>
      <c r="I132" s="2">
        <v>1165.51</v>
      </c>
      <c r="J132" s="2">
        <v>1835</v>
      </c>
      <c r="K132" s="2">
        <v>1735</v>
      </c>
      <c r="L132" s="2">
        <v>1735</v>
      </c>
      <c r="M132" s="2">
        <v>1735</v>
      </c>
      <c r="N132" s="2">
        <v>1735</v>
      </c>
      <c r="O132" s="2">
        <v>1735</v>
      </c>
      <c r="P132" s="9"/>
      <c r="Q132" s="2">
        <f>SUM(OSRRefD21_21_1x)+IFERROR(SUM(OSRRefE21_21_1x),0)</f>
        <v>20873.86</v>
      </c>
    </row>
    <row r="133" spans="1:17" s="35" customFormat="1" collapsed="1" x14ac:dyDescent="0.3">
      <c r="A133" s="34"/>
      <c r="B133" s="14" t="str">
        <f>CONCATENATE("     ","Training                                          ")</f>
        <v xml:space="preserve">     Training                                          </v>
      </c>
      <c r="C133" s="14"/>
      <c r="D133" s="1">
        <f>SUM(OSRRefD21_22x_0)</f>
        <v>0</v>
      </c>
      <c r="E133" s="1">
        <f>SUM(OSRRefD21_22x_1)</f>
        <v>0</v>
      </c>
      <c r="F133" s="1">
        <f>SUM(OSRRefD21_22x_2)</f>
        <v>595</v>
      </c>
      <c r="G133" s="1">
        <f>SUM(OSRRefD21_22x_3)</f>
        <v>0</v>
      </c>
      <c r="H133" s="1">
        <f>SUM(OSRRefD21_22x_4)</f>
        <v>0</v>
      </c>
      <c r="I133" s="1">
        <f>SUM(OSRRefD21_22x_5)</f>
        <v>0</v>
      </c>
      <c r="J133" s="1">
        <f>SUM(OSRRefE21_22x_0)</f>
        <v>0</v>
      </c>
      <c r="K133" s="1">
        <f>SUM(OSRRefE21_22x_1)</f>
        <v>2000</v>
      </c>
      <c r="L133" s="1">
        <f>SUM(OSRRefE21_22x_2)</f>
        <v>0</v>
      </c>
      <c r="M133" s="1">
        <f>SUM(OSRRefE21_22x_3)</f>
        <v>0</v>
      </c>
      <c r="N133" s="1">
        <f>SUM(OSRRefE21_22x_4)</f>
        <v>0</v>
      </c>
      <c r="O133" s="1">
        <f>SUM(OSRRefE21_22x_5)</f>
        <v>0</v>
      </c>
      <c r="Q133" s="2">
        <f>SUM(OSRRefD20_22x)+IFERROR(SUM(OSRRefE20_22x),0)</f>
        <v>2595</v>
      </c>
    </row>
    <row r="134" spans="1:17" s="35" customFormat="1" hidden="1" outlineLevel="1" x14ac:dyDescent="0.3">
      <c r="A134" s="34"/>
      <c r="B134" s="10" t="str">
        <f>CONCATENATE("          ","6376", " - ","TRAINING")</f>
        <v xml:space="preserve">          6376 - TRAINING</v>
      </c>
      <c r="C134" s="14"/>
      <c r="D134" s="2"/>
      <c r="E134" s="2"/>
      <c r="F134" s="2">
        <v>595</v>
      </c>
      <c r="G134" s="2"/>
      <c r="H134" s="2"/>
      <c r="I134" s="2"/>
      <c r="J134" s="2">
        <v>0</v>
      </c>
      <c r="K134" s="2">
        <v>2000</v>
      </c>
      <c r="L134" s="2">
        <v>0</v>
      </c>
      <c r="M134" s="2">
        <v>0</v>
      </c>
      <c r="N134" s="2">
        <v>0</v>
      </c>
      <c r="O134" s="2"/>
      <c r="P134" s="9"/>
      <c r="Q134" s="2">
        <f>SUM(OSRRefD21_22_0x)+IFERROR(SUM(OSRRefE21_22_0x),0)</f>
        <v>2595</v>
      </c>
    </row>
    <row r="135" spans="1:17" s="35" customFormat="1" collapsed="1" x14ac:dyDescent="0.3">
      <c r="A135" s="34"/>
      <c r="B135" s="14" t="str">
        <f>CONCATENATE("     ","Travel                                            ")</f>
        <v xml:space="preserve">     Travel                                            </v>
      </c>
      <c r="C135" s="14"/>
      <c r="D135" s="1">
        <f>SUM(OSRRefD21_23x_0)</f>
        <v>683.14</v>
      </c>
      <c r="E135" s="1">
        <f>SUM(OSRRefD21_23x_1)</f>
        <v>0</v>
      </c>
      <c r="F135" s="1">
        <f>SUM(OSRRefD21_23x_2)</f>
        <v>27.39</v>
      </c>
      <c r="G135" s="1">
        <f>SUM(OSRRefD21_23x_3)</f>
        <v>50</v>
      </c>
      <c r="H135" s="1">
        <f>SUM(OSRRefD21_23x_4)</f>
        <v>97.08</v>
      </c>
      <c r="I135" s="1">
        <f>SUM(OSRRefD21_23x_5)</f>
        <v>24.4</v>
      </c>
      <c r="J135" s="1">
        <f>SUM(OSRRefE21_23x_0)</f>
        <v>175</v>
      </c>
      <c r="K135" s="1">
        <f>SUM(OSRRefE21_23x_1)</f>
        <v>175</v>
      </c>
      <c r="L135" s="1">
        <f>SUM(OSRRefE21_23x_2)</f>
        <v>175</v>
      </c>
      <c r="M135" s="1">
        <f>SUM(OSRRefE21_23x_3)</f>
        <v>175</v>
      </c>
      <c r="N135" s="1">
        <f>SUM(OSRRefE21_23x_4)</f>
        <v>175</v>
      </c>
      <c r="O135" s="1">
        <f>SUM(OSRRefE21_23x_5)</f>
        <v>175</v>
      </c>
      <c r="Q135" s="2">
        <f>SUM(OSRRefD20_23x)+IFERROR(SUM(OSRRefE20_23x),0)</f>
        <v>1932.01</v>
      </c>
    </row>
    <row r="136" spans="1:17" s="35" customFormat="1" hidden="1" outlineLevel="1" x14ac:dyDescent="0.3">
      <c r="A136" s="34"/>
      <c r="B136" s="10" t="str">
        <f>CONCATENATE("          ","6292", " - ","TRAVEL/CONFERENCE")</f>
        <v xml:space="preserve">          6292 - TRAVEL/CONFERENCE</v>
      </c>
      <c r="C136" s="14"/>
      <c r="D136" s="2">
        <v>495</v>
      </c>
      <c r="E136" s="2"/>
      <c r="F136" s="2"/>
      <c r="G136" s="2"/>
      <c r="H136" s="2"/>
      <c r="I136" s="2"/>
      <c r="J136" s="2">
        <v>125</v>
      </c>
      <c r="K136" s="2">
        <v>125</v>
      </c>
      <c r="L136" s="2">
        <v>125</v>
      </c>
      <c r="M136" s="2">
        <v>125</v>
      </c>
      <c r="N136" s="2">
        <v>125</v>
      </c>
      <c r="O136" s="2">
        <v>125</v>
      </c>
      <c r="P136" s="9"/>
      <c r="Q136" s="2">
        <f>SUM(OSRRefD21_23_0x)+IFERROR(SUM(OSRRefE21_23_0x),0)</f>
        <v>1245</v>
      </c>
    </row>
    <row r="137" spans="1:17" s="35" customFormat="1" hidden="1" outlineLevel="1" x14ac:dyDescent="0.3">
      <c r="A137" s="34"/>
      <c r="B137" s="10" t="str">
        <f>CONCATENATE("          ","6294", " - ","TRAVEL OPERATIONAL")</f>
        <v xml:space="preserve">          6294 - TRAVEL OPERATIONAL</v>
      </c>
      <c r="C137" s="14"/>
      <c r="D137" s="2">
        <v>188.14</v>
      </c>
      <c r="E137" s="2"/>
      <c r="F137" s="2">
        <v>27.39</v>
      </c>
      <c r="G137" s="2"/>
      <c r="H137" s="2"/>
      <c r="I137" s="2">
        <v>24.4</v>
      </c>
      <c r="J137" s="2">
        <v>25</v>
      </c>
      <c r="K137" s="2">
        <v>25</v>
      </c>
      <c r="L137" s="2">
        <v>25</v>
      </c>
      <c r="M137" s="2">
        <v>25</v>
      </c>
      <c r="N137" s="2">
        <v>25</v>
      </c>
      <c r="O137" s="2">
        <v>25</v>
      </c>
      <c r="P137" s="9"/>
      <c r="Q137" s="2">
        <f>SUM(OSRRefD21_23_1x)+IFERROR(SUM(OSRRefE21_23_1x),0)</f>
        <v>389.92999999999995</v>
      </c>
    </row>
    <row r="138" spans="1:17" s="35" customFormat="1" hidden="1" outlineLevel="1" x14ac:dyDescent="0.3">
      <c r="A138" s="34"/>
      <c r="B138" s="10" t="str">
        <f>CONCATENATE("          ","6298", " - ","VEHICLE MILEAGE")</f>
        <v xml:space="preserve">          6298 - VEHICLE MILEAGE</v>
      </c>
      <c r="C138" s="14"/>
      <c r="D138" s="2"/>
      <c r="E138" s="2"/>
      <c r="F138" s="2"/>
      <c r="G138" s="2">
        <v>50</v>
      </c>
      <c r="H138" s="2">
        <v>97.08</v>
      </c>
      <c r="I138" s="2"/>
      <c r="J138" s="2">
        <v>25</v>
      </c>
      <c r="K138" s="2">
        <v>25</v>
      </c>
      <c r="L138" s="2">
        <v>25</v>
      </c>
      <c r="M138" s="2">
        <v>25</v>
      </c>
      <c r="N138" s="2">
        <v>25</v>
      </c>
      <c r="O138" s="2">
        <v>25</v>
      </c>
      <c r="P138" s="9"/>
      <c r="Q138" s="2">
        <f>SUM(OSRRefD21_23_2x)+IFERROR(SUM(OSRRefE21_23_2x),0)</f>
        <v>297.08</v>
      </c>
    </row>
    <row r="139" spans="1:17" s="35" customFormat="1" collapsed="1" x14ac:dyDescent="0.3">
      <c r="A139" s="34"/>
      <c r="B139" s="14" t="str">
        <f>CONCATENATE("     ","Utilities                                         ")</f>
        <v xml:space="preserve">     Utilities                                         </v>
      </c>
      <c r="C139" s="14"/>
      <c r="D139" s="1">
        <f>SUM(OSRRefD21_24x_0)</f>
        <v>6036.49</v>
      </c>
      <c r="E139" s="1">
        <f>SUM(OSRRefD21_24x_1)</f>
        <v>6037.29</v>
      </c>
      <c r="F139" s="1">
        <f>SUM(OSRRefD21_24x_2)</f>
        <v>6037.6</v>
      </c>
      <c r="G139" s="1">
        <f>SUM(OSRRefD21_24x_3)</f>
        <v>6038.6</v>
      </c>
      <c r="H139" s="1">
        <f>SUM(OSRRefD21_24x_4)</f>
        <v>6033.61</v>
      </c>
      <c r="I139" s="1">
        <f>SUM(OSRRefD21_24x_5)</f>
        <v>62.92</v>
      </c>
      <c r="J139" s="1">
        <f>SUM(OSRRefE21_24x_0)</f>
        <v>6120</v>
      </c>
      <c r="K139" s="1">
        <f>SUM(OSRRefE21_24x_1)</f>
        <v>8800</v>
      </c>
      <c r="L139" s="1">
        <f>SUM(OSRRefE21_24x_2)</f>
        <v>6120</v>
      </c>
      <c r="M139" s="1">
        <f>SUM(OSRRefE21_24x_3)</f>
        <v>6120</v>
      </c>
      <c r="N139" s="1">
        <f>SUM(OSRRefE21_24x_4)</f>
        <v>6120</v>
      </c>
      <c r="O139" s="1">
        <f>SUM(OSRRefE21_24x_5)</f>
        <v>6120</v>
      </c>
      <c r="Q139" s="2">
        <f>SUM(OSRRefD20_24x)+IFERROR(SUM(OSRRefE20_24x),0)</f>
        <v>69646.509999999995</v>
      </c>
    </row>
    <row r="140" spans="1:17" s="35" customFormat="1" hidden="1" outlineLevel="1" x14ac:dyDescent="0.3">
      <c r="A140" s="34"/>
      <c r="B140" s="10" t="str">
        <f>CONCATENATE("          ","6274", " - ","UTILITIES")</f>
        <v xml:space="preserve">          6274 - UTILITIES</v>
      </c>
      <c r="C140" s="14"/>
      <c r="D140" s="2">
        <v>6036.49</v>
      </c>
      <c r="E140" s="2">
        <v>6037.29</v>
      </c>
      <c r="F140" s="2">
        <v>6037.6</v>
      </c>
      <c r="G140" s="2">
        <v>6038.6</v>
      </c>
      <c r="H140" s="2">
        <v>6033.61</v>
      </c>
      <c r="I140" s="2">
        <v>62.92</v>
      </c>
      <c r="J140" s="2">
        <v>6120</v>
      </c>
      <c r="K140" s="2">
        <v>8800</v>
      </c>
      <c r="L140" s="2">
        <v>6120</v>
      </c>
      <c r="M140" s="2">
        <v>6120</v>
      </c>
      <c r="N140" s="2">
        <v>6120</v>
      </c>
      <c r="O140" s="2">
        <v>6120</v>
      </c>
      <c r="P140" s="9"/>
      <c r="Q140" s="2">
        <f>SUM(OSRRefD21_24_0x)+IFERROR(SUM(OSRRefE21_24_0x),0)</f>
        <v>69646.509999999995</v>
      </c>
    </row>
    <row r="141" spans="1:17" s="29" customFormat="1" x14ac:dyDescent="0.3">
      <c r="A141" s="21"/>
      <c r="B141" s="21"/>
      <c r="C141" s="2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</row>
    <row r="142" spans="1:17" s="9" customFormat="1" x14ac:dyDescent="0.3">
      <c r="A142" s="23"/>
      <c r="B142" s="16" t="s">
        <v>293</v>
      </c>
      <c r="C142" s="22"/>
      <c r="D142" s="3">
        <f>--39640.85</f>
        <v>39640.85</v>
      </c>
      <c r="E142" s="3">
        <f>--144356.09</f>
        <v>144356.09</v>
      </c>
      <c r="F142" s="3">
        <f>--178854.34</f>
        <v>178854.34</v>
      </c>
      <c r="G142" s="3">
        <f>--38787.7</f>
        <v>38787.699999999997</v>
      </c>
      <c r="H142" s="3">
        <f>--54598.81</f>
        <v>54598.81</v>
      </c>
      <c r="I142" s="3">
        <f>--13670.93</f>
        <v>13670.93</v>
      </c>
      <c r="J142" s="3">
        <v>27724.33</v>
      </c>
      <c r="K142" s="3">
        <v>212602.4</v>
      </c>
      <c r="L142" s="3">
        <v>62092</v>
      </c>
      <c r="M142" s="3">
        <v>32626</v>
      </c>
      <c r="N142" s="3">
        <v>302754</v>
      </c>
      <c r="O142" s="3">
        <v>219676</v>
      </c>
      <c r="Q142" s="2">
        <f>SUM(OSRRefD23_0x)+IFERROR(SUM(OSRRefE23_0x),0)</f>
        <v>1327383.45</v>
      </c>
    </row>
    <row r="143" spans="1:17" x14ac:dyDescent="0.3">
      <c r="A143" s="5"/>
      <c r="B143" s="6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</row>
    <row r="144" spans="1:17" s="15" customFormat="1" x14ac:dyDescent="0.3">
      <c r="A144" s="6"/>
      <c r="B144" s="17" t="s">
        <v>276</v>
      </c>
      <c r="C144" s="17"/>
      <c r="D144" s="7">
        <f t="shared" ref="D144:O144" si="4">IFERROR(+D48-D51+D142, 0)</f>
        <v>-230712.69999999992</v>
      </c>
      <c r="E144" s="7">
        <f t="shared" si="4"/>
        <v>324850.06999999983</v>
      </c>
      <c r="F144" s="7">
        <f t="shared" si="4"/>
        <v>86136.530000000173</v>
      </c>
      <c r="G144" s="7">
        <f t="shared" si="4"/>
        <v>-52670.340000000157</v>
      </c>
      <c r="H144" s="7">
        <f t="shared" si="4"/>
        <v>-53622.11999999985</v>
      </c>
      <c r="I144" s="7">
        <f t="shared" si="4"/>
        <v>-22541.029999999904</v>
      </c>
      <c r="J144" s="7">
        <f t="shared" si="4"/>
        <v>272308.66774574365</v>
      </c>
      <c r="K144" s="7">
        <f t="shared" si="4"/>
        <v>139834.29928374491</v>
      </c>
      <c r="L144" s="7">
        <f t="shared" si="4"/>
        <v>-13103.619177755085</v>
      </c>
      <c r="M144" s="7">
        <f t="shared" si="4"/>
        <v>-97982.956390756415</v>
      </c>
      <c r="N144" s="7">
        <f t="shared" si="4"/>
        <v>219904.19896724494</v>
      </c>
      <c r="O144" s="7">
        <f t="shared" si="4"/>
        <v>74892.793733594939</v>
      </c>
      <c r="Q144" s="7">
        <f>IFERROR(+Q48-Q51+Q142, 0)</f>
        <v>647293.79416181636</v>
      </c>
    </row>
    <row r="145" spans="1:17" s="6" customFormat="1" x14ac:dyDescent="0.3">
      <c r="B145" s="16"/>
      <c r="C145" s="16"/>
      <c r="D145" s="4">
        <f t="shared" ref="D145:O145" si="5">IFERROR(D144/D10, 0)</f>
        <v>-1.046324546293389</v>
      </c>
      <c r="E145" s="4">
        <f t="shared" si="5"/>
        <v>0.21473510165244186</v>
      </c>
      <c r="F145" s="4">
        <f t="shared" si="5"/>
        <v>0.14737982875738256</v>
      </c>
      <c r="G145" s="4">
        <f t="shared" si="5"/>
        <v>-9.5690527603677883E-2</v>
      </c>
      <c r="H145" s="4">
        <f t="shared" si="5"/>
        <v>-0.18193118183957463</v>
      </c>
      <c r="I145" s="4">
        <f t="shared" si="5"/>
        <v>-4.5242867629271877E-2</v>
      </c>
      <c r="J145" s="4">
        <f t="shared" si="5"/>
        <v>0.13654800176195153</v>
      </c>
      <c r="K145" s="4">
        <f t="shared" si="5"/>
        <v>0.25525499027739834</v>
      </c>
      <c r="L145" s="4">
        <f t="shared" si="5"/>
        <v>-3.6333441040333078E-2</v>
      </c>
      <c r="M145" s="4">
        <f t="shared" si="5"/>
        <v>-0.27746050141517126</v>
      </c>
      <c r="N145" s="4">
        <f t="shared" si="5"/>
        <v>0.57805787557205335</v>
      </c>
      <c r="O145" s="4">
        <f t="shared" si="5"/>
        <v>0.26326669736741343</v>
      </c>
      <c r="P145" s="18"/>
      <c r="Q145" s="4">
        <f>IFERROR(Q144/Q10, 0)</f>
        <v>8.5373882101924745E-2</v>
      </c>
    </row>
    <row r="146" spans="1:17" x14ac:dyDescent="0.3">
      <c r="A146" s="5"/>
      <c r="B146" s="6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Q146" s="3"/>
    </row>
    <row r="147" spans="1:17" s="15" customFormat="1" x14ac:dyDescent="0.3">
      <c r="A147" s="25"/>
      <c r="B147" s="6" t="s">
        <v>125</v>
      </c>
      <c r="C147" s="6"/>
      <c r="D147" s="3">
        <v>101869.27</v>
      </c>
      <c r="E147" s="3">
        <v>157141.93</v>
      </c>
      <c r="F147" s="3">
        <v>27869.18</v>
      </c>
      <c r="G147" s="3">
        <v>44656.27</v>
      </c>
      <c r="H147" s="3">
        <v>45202.76</v>
      </c>
      <c r="I147" s="3">
        <v>63953.79</v>
      </c>
      <c r="J147" s="3">
        <v>229190</v>
      </c>
      <c r="K147" s="3">
        <v>45787</v>
      </c>
      <c r="L147" s="3">
        <v>40427</v>
      </c>
      <c r="M147" s="3">
        <v>53128</v>
      </c>
      <c r="N147" s="3">
        <v>54939</v>
      </c>
      <c r="O147" s="3">
        <v>-58524</v>
      </c>
      <c r="Q147" s="2">
        <f>SUM(OSRRefD28_0x)+IFERROR(SUM(OSRRefE28_0x),0)</f>
        <v>805640.2</v>
      </c>
    </row>
    <row r="148" spans="1:17" x14ac:dyDescent="0.3">
      <c r="A148" s="5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s="15" customFormat="1" ht="15" thickBot="1" x14ac:dyDescent="0.35">
      <c r="A149" s="6"/>
      <c r="B149" s="17" t="s">
        <v>124</v>
      </c>
      <c r="C149" s="17"/>
      <c r="D149" s="8">
        <f t="shared" ref="D149:O149" si="6">IFERROR(+D144-D147, 0)</f>
        <v>-332581.96999999991</v>
      </c>
      <c r="E149" s="8">
        <f t="shared" si="6"/>
        <v>167708.13999999984</v>
      </c>
      <c r="F149" s="8">
        <f t="shared" si="6"/>
        <v>58267.350000000173</v>
      </c>
      <c r="G149" s="8">
        <f t="shared" si="6"/>
        <v>-97326.610000000161</v>
      </c>
      <c r="H149" s="8">
        <f t="shared" si="6"/>
        <v>-98824.879999999859</v>
      </c>
      <c r="I149" s="8">
        <f t="shared" si="6"/>
        <v>-86494.819999999905</v>
      </c>
      <c r="J149" s="8">
        <f t="shared" si="6"/>
        <v>43118.667745743645</v>
      </c>
      <c r="K149" s="8">
        <f t="shared" si="6"/>
        <v>94047.299283744913</v>
      </c>
      <c r="L149" s="8">
        <f t="shared" si="6"/>
        <v>-53530.619177755085</v>
      </c>
      <c r="M149" s="8">
        <f t="shared" si="6"/>
        <v>-151110.95639075642</v>
      </c>
      <c r="N149" s="8">
        <f t="shared" si="6"/>
        <v>164965.19896724494</v>
      </c>
      <c r="O149" s="8">
        <f t="shared" si="6"/>
        <v>133416.79373359494</v>
      </c>
      <c r="Q149" s="8">
        <f>IFERROR(+Q144-Q147, 0)</f>
        <v>-158346.40583818359</v>
      </c>
    </row>
    <row r="150" spans="1:17" ht="15" thickTop="1" x14ac:dyDescent="0.3">
      <c r="A150" s="5"/>
      <c r="B150" s="5"/>
      <c r="C150" s="5"/>
      <c r="D150" s="4">
        <f t="shared" ref="D150:O150" si="7">IFERROR(D149/D10, 0)</f>
        <v>-1.5083204299789807</v>
      </c>
      <c r="E150" s="4">
        <f t="shared" si="7"/>
        <v>0.11085983294029131</v>
      </c>
      <c r="F150" s="4">
        <f t="shared" si="7"/>
        <v>9.9695588679349897E-2</v>
      </c>
      <c r="G150" s="4">
        <f t="shared" si="7"/>
        <v>-0.17682123678672626</v>
      </c>
      <c r="H150" s="4">
        <f t="shared" si="7"/>
        <v>-0.33529683670757826</v>
      </c>
      <c r="I150" s="4">
        <f t="shared" si="7"/>
        <v>-0.17360669374370691</v>
      </c>
      <c r="J150" s="4">
        <f t="shared" si="7"/>
        <v>2.1621669145016908E-2</v>
      </c>
      <c r="K150" s="4">
        <f t="shared" si="7"/>
        <v>0.17167492229911341</v>
      </c>
      <c r="L150" s="4">
        <f t="shared" si="7"/>
        <v>-0.14842858063589554</v>
      </c>
      <c r="M150" s="4">
        <f t="shared" si="7"/>
        <v>-0.42790423226565066</v>
      </c>
      <c r="N150" s="4">
        <f t="shared" si="7"/>
        <v>0.43364079861217486</v>
      </c>
      <c r="O150" s="4">
        <f t="shared" si="7"/>
        <v>0.46899303535844955</v>
      </c>
      <c r="P150" s="18"/>
      <c r="Q150" s="4">
        <f>IFERROR(Q149/Q10, 0)</f>
        <v>-2.0884870989375037E-2</v>
      </c>
    </row>
    <row r="151" spans="1:17" x14ac:dyDescent="0.3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x14ac:dyDescent="0.3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ht="15" thickBot="1" x14ac:dyDescent="0.35">
      <c r="A153" s="6"/>
      <c r="B153" s="17" t="s">
        <v>294</v>
      </c>
      <c r="C153" s="17"/>
      <c r="D153" s="8">
        <f t="shared" ref="D153:O153" si="8">IFERROR(SUM(D149:D152), 0)</f>
        <v>-332583.47832042992</v>
      </c>
      <c r="E153" s="8">
        <f t="shared" si="8"/>
        <v>167708.25085983277</v>
      </c>
      <c r="F153" s="8">
        <f t="shared" si="8"/>
        <v>58267.449695588854</v>
      </c>
      <c r="G153" s="8">
        <f t="shared" si="8"/>
        <v>-97326.78682123695</v>
      </c>
      <c r="H153" s="8">
        <f t="shared" si="8"/>
        <v>-98825.21529683657</v>
      </c>
      <c r="I153" s="8">
        <f t="shared" si="8"/>
        <v>-86494.99360669365</v>
      </c>
      <c r="J153" s="8">
        <f t="shared" si="8"/>
        <v>43118.689367412793</v>
      </c>
      <c r="K153" s="8">
        <f t="shared" si="8"/>
        <v>94047.470958667211</v>
      </c>
      <c r="L153" s="8">
        <f t="shared" si="8"/>
        <v>-53530.767606335721</v>
      </c>
      <c r="M153" s="8">
        <f t="shared" si="8"/>
        <v>-151111.38429498867</v>
      </c>
      <c r="N153" s="8">
        <f t="shared" si="8"/>
        <v>164965.63260804355</v>
      </c>
      <c r="O153" s="8">
        <f t="shared" si="8"/>
        <v>133417.26272663029</v>
      </c>
      <c r="Q153" s="8">
        <f>IFERROR(SUM(Q149:Q152), 0)</f>
        <v>-158346.42672305458</v>
      </c>
    </row>
    <row r="154" spans="1:17" ht="15" thickTop="1" x14ac:dyDescent="0.3">
      <c r="A154" s="5"/>
      <c r="C154" s="5"/>
      <c r="D154" s="4">
        <f t="shared" ref="D154:O154" si="9">IFERROR(D153/D10, 0)</f>
        <v>-1.508327270489666</v>
      </c>
      <c r="E154" s="4">
        <f t="shared" si="9"/>
        <v>0.11085990622178235</v>
      </c>
      <c r="F154" s="4">
        <f t="shared" si="9"/>
        <v>9.9695759258763617E-2</v>
      </c>
      <c r="G154" s="4">
        <f t="shared" si="9"/>
        <v>-0.17682155803237304</v>
      </c>
      <c r="H154" s="4">
        <f t="shared" si="9"/>
        <v>-0.33529797431552383</v>
      </c>
      <c r="I154" s="4">
        <f t="shared" si="9"/>
        <v>-0.17360704219560394</v>
      </c>
      <c r="J154" s="4">
        <f t="shared" si="9"/>
        <v>2.1621679987109232E-2</v>
      </c>
      <c r="K154" s="4">
        <f t="shared" si="9"/>
        <v>0.17167523567630949</v>
      </c>
      <c r="L154" s="4">
        <f t="shared" si="9"/>
        <v>-0.1484289921955578</v>
      </c>
      <c r="M154" s="4">
        <f t="shared" si="9"/>
        <v>-0.42790544397151481</v>
      </c>
      <c r="N154" s="4">
        <f t="shared" si="9"/>
        <v>0.43364193851527805</v>
      </c>
      <c r="O154" s="4">
        <f t="shared" si="9"/>
        <v>0.46899468398499089</v>
      </c>
      <c r="P154" s="18"/>
      <c r="Q154" s="4">
        <f>IFERROR(Q153/Q10, 0)</f>
        <v>-2.0884873743954997E-2</v>
      </c>
    </row>
    <row r="155" spans="1:17" x14ac:dyDescent="0.3">
      <c r="A155" s="5"/>
      <c r="B155" s="28">
        <v>44575.850653506946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3"/>
    </row>
    <row r="156" spans="1:17" x14ac:dyDescent="0.3">
      <c r="A156" s="5"/>
      <c r="B156" s="26" t="s">
        <v>54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3"/>
    </row>
    <row r="157" spans="1:17" x14ac:dyDescent="0.3">
      <c r="A157" s="5"/>
      <c r="B157" s="3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Q157" s="13"/>
    </row>
    <row r="158" spans="1:17" x14ac:dyDescent="0.3"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Q15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6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313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315804.52</v>
      </c>
      <c r="E10" s="3">
        <f>SUM(OSRRefD11x_1)</f>
        <v>1856168.02</v>
      </c>
      <c r="F10" s="3">
        <f>SUM(OSRRefD11x_2)</f>
        <v>759312.65</v>
      </c>
      <c r="G10" s="3">
        <f>SUM(OSRRefD11x_3)</f>
        <v>677463.59000000008</v>
      </c>
      <c r="H10" s="3">
        <f>SUM(OSRRefD11x_4)</f>
        <v>387266.24</v>
      </c>
      <c r="I10" s="3">
        <f>SUM(OSRRefD11x_5)</f>
        <v>631765.17000000004</v>
      </c>
      <c r="J10" s="3">
        <f>SUM(OSRRefE11x_0)</f>
        <v>2177091</v>
      </c>
      <c r="K10" s="3">
        <f>SUM(OSRRefE11x_1)</f>
        <v>654520</v>
      </c>
      <c r="L10" s="3">
        <f>SUM(OSRRefE11x_2)</f>
        <v>469219</v>
      </c>
      <c r="M10" s="3">
        <f>SUM(OSRRefE11x_3)</f>
        <v>559372</v>
      </c>
      <c r="N10" s="3">
        <f>SUM(OSRRefE11x_4)</f>
        <v>768349</v>
      </c>
      <c r="O10" s="3">
        <f>SUM(OSRRefE11x_5)</f>
        <v>390811</v>
      </c>
      <c r="P10" s="24"/>
      <c r="Q10" s="3">
        <f>SUM(OSRRefG11x)</f>
        <v>9647142.1899999995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--270004.59</f>
        <v>270004.59000000003</v>
      </c>
      <c r="E11" s="2">
        <f>--1519627.85</f>
        <v>1519627.85</v>
      </c>
      <c r="F11" s="2">
        <f>--599649.46</f>
        <v>599649.46</v>
      </c>
      <c r="G11" s="2">
        <f>--562742.81</f>
        <v>562742.81000000006</v>
      </c>
      <c r="H11" s="2">
        <f>--364190.03</f>
        <v>364190.03</v>
      </c>
      <c r="I11" s="2">
        <f>--614967.72</f>
        <v>614967.72</v>
      </c>
      <c r="J11" s="2">
        <v>2133438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8652160.4600000009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--80066.52</f>
        <v>80066.52</v>
      </c>
      <c r="E12" s="2">
        <f>--402611.72</f>
        <v>402611.72</v>
      </c>
      <c r="F12" s="2">
        <f>--200794.66</f>
        <v>200794.66</v>
      </c>
      <c r="G12" s="2">
        <f>--178163.85</f>
        <v>178163.85</v>
      </c>
      <c r="H12" s="2">
        <f>--84057.97</f>
        <v>84057.97</v>
      </c>
      <c r="I12" s="2">
        <f>--121671.8</f>
        <v>121671.8</v>
      </c>
      <c r="J12" s="2">
        <v>43653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1365750.52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I14" si="0">0</f>
        <v>0</v>
      </c>
      <c r="I13" s="2">
        <f t="shared" si="0"/>
        <v>0</v>
      </c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-32785.21</f>
        <v>-32785.21</v>
      </c>
      <c r="E15" s="2">
        <f>-52638.54</f>
        <v>-52638.54</v>
      </c>
      <c r="F15" s="2">
        <f>-43203.32</f>
        <v>-43203.32</v>
      </c>
      <c r="G15" s="2">
        <f>-42133.25</f>
        <v>-42133.25</v>
      </c>
      <c r="H15" s="2">
        <f>-53747.52</f>
        <v>-53747.519999999997</v>
      </c>
      <c r="I15" s="2">
        <f>-53893.38</f>
        <v>-53893.38</v>
      </c>
      <c r="J15" s="2"/>
      <c r="K15" s="2"/>
      <c r="L15" s="2"/>
      <c r="M15" s="2"/>
      <c r="N15" s="2"/>
      <c r="O15" s="2"/>
      <c r="Q15" s="2">
        <f>SUM(OSRRefD11_4x)+IFERROR(SUM(OSRRefE11_4x),0)</f>
        <v>-278401.21999999997</v>
      </c>
    </row>
    <row r="16" spans="1:18" s="9" customFormat="1" hidden="1" outlineLevel="1" x14ac:dyDescent="0.3">
      <c r="A16" s="23"/>
      <c r="B16" s="10" t="str">
        <f>CONCATENATE("          ","4300", " - ","NON-TAX RETURNS")</f>
        <v xml:space="preserve">          4300 - NON-TAX RETURNS</v>
      </c>
      <c r="C16" s="22"/>
      <c r="D16" s="2">
        <f>-1501.58</f>
        <v>-1501.58</v>
      </c>
      <c r="E16" s="2">
        <f>-16535.91</f>
        <v>-16535.91</v>
      </c>
      <c r="F16" s="2">
        <f>-2758.55</f>
        <v>-2758.55</v>
      </c>
      <c r="G16" s="2">
        <f>-5693.23</f>
        <v>-5693.23</v>
      </c>
      <c r="H16" s="2">
        <f>-715.91</f>
        <v>-715.91</v>
      </c>
      <c r="I16" s="2">
        <f>-678.95</f>
        <v>-678.95</v>
      </c>
      <c r="J16" s="2"/>
      <c r="K16" s="2"/>
      <c r="L16" s="2"/>
      <c r="M16" s="2"/>
      <c r="N16" s="2"/>
      <c r="O16" s="2"/>
      <c r="Q16" s="2">
        <f>SUM(OSRRefD11_5x)+IFERROR(SUM(OSRRefE11_5x),0)</f>
        <v>-27884.129999999997</v>
      </c>
    </row>
    <row r="17" spans="1:17" s="9" customFormat="1" hidden="1" outlineLevel="1" x14ac:dyDescent="0.3">
      <c r="A17" s="23"/>
      <c r="B17" s="10" t="str">
        <f>CONCATENATE("          ","4500", " - ","SALES DISCOUNT")</f>
        <v xml:space="preserve">          4500 - SALES DISCOUNT</v>
      </c>
      <c r="C17" s="22"/>
      <c r="D17" s="2">
        <f t="shared" ref="D17:F17" si="1">0</f>
        <v>0</v>
      </c>
      <c r="E17" s="2">
        <f t="shared" si="1"/>
        <v>0</v>
      </c>
      <c r="F17" s="2">
        <f t="shared" si="1"/>
        <v>0</v>
      </c>
      <c r="G17" s="2">
        <f>-7663.09</f>
        <v>-7663.09</v>
      </c>
      <c r="H17" s="2">
        <f>-6518.33</f>
        <v>-6518.33</v>
      </c>
      <c r="I17" s="2">
        <f>-50302.02</f>
        <v>-50302.02</v>
      </c>
      <c r="J17" s="2"/>
      <c r="K17" s="2"/>
      <c r="L17" s="2"/>
      <c r="M17" s="2"/>
      <c r="N17" s="2"/>
      <c r="O17" s="2"/>
      <c r="Q17" s="2">
        <f>SUM(OSRRefD11_6x)+IFERROR(SUM(OSRRefE11_6x),0)</f>
        <v>-64483.439999999995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3"/>
      <c r="B19" s="16" t="s">
        <v>218</v>
      </c>
      <c r="C19" s="22"/>
      <c r="D19" s="3">
        <f>SUM(OSRRefD14x_0)</f>
        <v>209792.91000000003</v>
      </c>
      <c r="E19" s="3">
        <f>SUM(OSRRefD14x_1)</f>
        <v>1284131.0999999999</v>
      </c>
      <c r="F19" s="3">
        <f>SUM(OSRRefD14x_2)</f>
        <v>502570.24000000005</v>
      </c>
      <c r="G19" s="3">
        <f>SUM(OSRRefD14x_3)</f>
        <v>438990.99000000005</v>
      </c>
      <c r="H19" s="3">
        <f>SUM(OSRRefD14x_4)</f>
        <v>221001.48</v>
      </c>
      <c r="I19" s="3">
        <f>SUM(OSRRefD14x_5)</f>
        <v>377927.83999999997</v>
      </c>
      <c r="J19" s="3">
        <f>SUM(OSRRefE14x_0)</f>
        <v>1475789</v>
      </c>
      <c r="K19" s="3">
        <f>SUM(OSRRefE14x_1)</f>
        <v>393612</v>
      </c>
      <c r="L19" s="3">
        <f>SUM(OSRRefE14x_2)</f>
        <v>255734</v>
      </c>
      <c r="M19" s="3">
        <f>SUM(OSRRefE14x_3)</f>
        <v>341473</v>
      </c>
      <c r="N19" s="3">
        <f>SUM(OSRRefE14x_4)</f>
        <v>526049</v>
      </c>
      <c r="O19" s="3">
        <f>SUM(OSRRefE14x_5)</f>
        <v>245688</v>
      </c>
      <c r="Q19" s="3">
        <f>SUM(OSRRefG14x)</f>
        <v>6272759.5600000005</v>
      </c>
    </row>
    <row r="20" spans="1:17" s="9" customFormat="1" hidden="1" outlineLevel="1" x14ac:dyDescent="0.3">
      <c r="A20" s="23"/>
      <c r="B20" s="10" t="str">
        <f>CONCATENATE("          ","5000", " - ","PURCHASES @ COST")</f>
        <v xml:space="preserve">          5000 - PURCHASES @ COST</v>
      </c>
      <c r="C20" s="22"/>
      <c r="D20" s="2">
        <v>442136.21</v>
      </c>
      <c r="E20" s="2">
        <v>785954.3</v>
      </c>
      <c r="F20" s="2">
        <v>895370.31</v>
      </c>
      <c r="G20" s="2">
        <v>879528.49</v>
      </c>
      <c r="H20" s="2">
        <v>-11220.02</v>
      </c>
      <c r="I20" s="2">
        <v>467393.3</v>
      </c>
      <c r="J20" s="2">
        <v>1475789</v>
      </c>
      <c r="K20" s="2">
        <v>393612</v>
      </c>
      <c r="L20" s="2">
        <v>255734</v>
      </c>
      <c r="M20" s="2">
        <v>341473</v>
      </c>
      <c r="N20" s="2">
        <v>526049</v>
      </c>
      <c r="O20" s="2">
        <v>245688</v>
      </c>
      <c r="Q20" s="2">
        <f>SUM(OSRRefD14_0x)+IFERROR(SUM(OSRRefE14_0x),0)</f>
        <v>6697507.5899999999</v>
      </c>
    </row>
    <row r="21" spans="1:17" s="9" customFormat="1" hidden="1" outlineLevel="1" x14ac:dyDescent="0.3">
      <c r="A21" s="23"/>
      <c r="B21" s="10" t="str">
        <f>CONCATENATE("          ","5001", " - ","PURCHASES @ COST-NEW TEXT")</f>
        <v xml:space="preserve">          5001 - PURCHASES @ COST-NEW TEXT</v>
      </c>
      <c r="C21" s="22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3"/>
      <c r="B22" s="10" t="str">
        <f>CONCATENATE("          ","5002", " - ","PURCHASES @ COST-USED TEXT")</f>
        <v xml:space="preserve">          5002 - PURCHASES @ COST-USED TEXT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3"/>
      <c r="B23" s="10" t="str">
        <f>CONCATENATE("          ","5004", " - ","PURCHASES @ COST-DIGITAL TEXT")</f>
        <v xml:space="preserve">          5004 - PURCHASES @ COST-DIGITAL TEXT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3"/>
      <c r="B24" s="10" t="str">
        <f>CONCATENATE("          ","5026", " - ","PURCHASES @ COST-WRITING INSTR")</f>
        <v xml:space="preserve">          5026 - PURCHASES @ COST-WRITING INSTR</v>
      </c>
      <c r="C24" s="22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3"/>
      <c r="B25" s="10" t="str">
        <f>CONCATENATE("          ","5027", " - ","PURCHASES @ COST-SCHOOL SUPPLI")</f>
        <v xml:space="preserve">          5027 - PURCHASES @ COST-SCHOOL SUPPLI</v>
      </c>
      <c r="C25" s="22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3"/>
      <c r="B26" s="10" t="str">
        <f>CONCATENATE("          ","5028", " - ","PURCHASES @ COST-ART/TECH")</f>
        <v xml:space="preserve">          5028 - PURCHASES @ COST-ART/TECH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3"/>
      <c r="B27" s="10" t="str">
        <f>CONCATENATE("          ","5031", " - ","PURCHASES @ COST-FOOD")</f>
        <v xml:space="preserve">          5031 - PURCHASES @ COST-FOOD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3"/>
      <c r="B28" s="10" t="str">
        <f>CONCATENATE("          ","5040", " - ","PURCHASES @ COST-LOGO CLOTHING")</f>
        <v xml:space="preserve">          5040 - PURCHASES @ COST-LOGO CLOTHING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3"/>
      <c r="B29" s="10" t="str">
        <f>CONCATENATE("          ","5041", " - ","PURCHASES @ COST-LOGO GIFTS")</f>
        <v xml:space="preserve">          5041 - PURCHASES @ COST-LOGO GIFTS</v>
      </c>
      <c r="C29" s="22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3"/>
      <c r="B30" s="10" t="str">
        <f>CONCATENATE("          ","5042", " - ","PURCHASES @ COST-EVERYDAY GIFT")</f>
        <v xml:space="preserve">          5042 - PURCHASES @ COST-EVERYDAY GIFT</v>
      </c>
      <c r="C30" s="22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3"/>
      <c r="B31" s="10" t="str">
        <f>CONCATENATE("          ","5043", " - ","PURCHASES @ COST-CARDS")</f>
        <v xml:space="preserve">          5043 - PURCHASES @ COST-CARDS</v>
      </c>
      <c r="C31" s="22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3"/>
      <c r="B32" s="10" t="str">
        <f>CONCATENATE("          ","5044", " - ","PURCHASES @ COST-ACCESSORIES")</f>
        <v xml:space="preserve">          5044 - PURCHASES @ COST-ACCESSORIES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3"/>
      <c r="B33" s="10" t="str">
        <f>CONCATENATE("          ","5045", " - ","PURCHASES @ COST-SPECIAL ORDER")</f>
        <v xml:space="preserve">          5045 - PURCHASES @ COST-SPECIAL ORDER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3"/>
      <c r="B34" s="10" t="str">
        <f>CONCATENATE("          ","5081", " - ","PURCHASES @ COST-ELECTRONICS")</f>
        <v xml:space="preserve">          5081 - PURCHASES @ COST-ELECTRONICS</v>
      </c>
      <c r="C34" s="22"/>
      <c r="D34" s="2">
        <v>0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SUM(OSRRefD14_14x)+IFERROR(SUM(OSRRefE14_14x),0)</f>
        <v>0</v>
      </c>
    </row>
    <row r="35" spans="1:17" s="9" customFormat="1" hidden="1" outlineLevel="1" x14ac:dyDescent="0.3">
      <c r="A35" s="23"/>
      <c r="B35" s="10" t="str">
        <f>CONCATENATE("          ","5082", " - ","PURCHASES @ COST-COMPUTER HARD")</f>
        <v xml:space="preserve">          5082 - PURCHASES @ COST-COMPUTER HARD</v>
      </c>
      <c r="C35" s="22"/>
      <c r="D35" s="2">
        <v>-10902.62</v>
      </c>
      <c r="E35" s="2">
        <v>-23501.200000000001</v>
      </c>
      <c r="F35" s="2">
        <v>-22380.03</v>
      </c>
      <c r="G35" s="2">
        <v>-20540.88</v>
      </c>
      <c r="H35" s="2">
        <v>-3384.72</v>
      </c>
      <c r="I35" s="2">
        <v>-6160.03</v>
      </c>
      <c r="J35" s="2"/>
      <c r="K35" s="2"/>
      <c r="L35" s="2"/>
      <c r="M35" s="2"/>
      <c r="N35" s="2"/>
      <c r="O35" s="2"/>
      <c r="Q35" s="2">
        <f>SUM(OSRRefD14_15x)+IFERROR(SUM(OSRRefE14_15x),0)</f>
        <v>-86869.48</v>
      </c>
    </row>
    <row r="36" spans="1:17" s="9" customFormat="1" hidden="1" outlineLevel="1" x14ac:dyDescent="0.3">
      <c r="A36" s="23"/>
      <c r="B36" s="10" t="str">
        <f>CONCATENATE("          ","5083", " - ","PURCHASES @ COST-COMPUTER EQUI")</f>
        <v xml:space="preserve">          5083 - PURCHASES @ COST-COMPUTER EQUI</v>
      </c>
      <c r="C36" s="22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SUM(OSRRefD14_16x)+IFERROR(SUM(OSRRefE14_16x),0)</f>
        <v>0</v>
      </c>
    </row>
    <row r="37" spans="1:17" s="9" customFormat="1" hidden="1" outlineLevel="1" x14ac:dyDescent="0.3">
      <c r="A37" s="23"/>
      <c r="B37" s="10" t="str">
        <f>CONCATENATE("          ","5085", " - ","PURCHASES @ COST-SOFTWARE")</f>
        <v xml:space="preserve">          5085 - PURCHASES @ COST-SOFTWARE</v>
      </c>
      <c r="C37" s="22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3">
      <c r="A38" s="23"/>
      <c r="B38" s="10" t="str">
        <f>CONCATENATE("          ","5086", " - ","PURCHASES @ COST-COMPUTER SUPP")</f>
        <v xml:space="preserve">          5086 - PURCHASES @ COST-COMPUTER SUPP</v>
      </c>
      <c r="C38" s="22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3">
      <c r="A39" s="23"/>
      <c r="B39" s="10" t="str">
        <f>CONCATENATE("          ","5200", " - ","PURCHASES OFFSET")</f>
        <v xml:space="preserve">          5200 - PURCHASES OFFSET</v>
      </c>
      <c r="C39" s="22"/>
      <c r="D39" s="2">
        <v>-443731.32</v>
      </c>
      <c r="E39" s="2">
        <v>-589608.85</v>
      </c>
      <c r="F39" s="2">
        <v>-866523.34</v>
      </c>
      <c r="G39" s="2">
        <v>-899387.86</v>
      </c>
      <c r="H39" s="2">
        <v>427.46</v>
      </c>
      <c r="I39" s="2">
        <v>-479454</v>
      </c>
      <c r="J39" s="2"/>
      <c r="K39" s="2"/>
      <c r="L39" s="2"/>
      <c r="M39" s="2"/>
      <c r="N39" s="2"/>
      <c r="O39" s="2"/>
      <c r="Q39" s="2">
        <f>SUM(OSRRefD14_19x)+IFERROR(SUM(OSRRefE14_19x),0)</f>
        <v>-3278277.9099999997</v>
      </c>
    </row>
    <row r="40" spans="1:17" s="9" customFormat="1" hidden="1" outlineLevel="1" x14ac:dyDescent="0.3">
      <c r="A40" s="23"/>
      <c r="B40" s="10" t="str">
        <f>CONCATENATE("          ","5300", " - ","COG$ OFFSET")</f>
        <v xml:space="preserve">          5300 - COG$ OFFSET</v>
      </c>
      <c r="C40" s="22"/>
      <c r="D40" s="2">
        <v>218685.5</v>
      </c>
      <c r="E40" s="2">
        <v>1104681.67</v>
      </c>
      <c r="F40" s="2">
        <v>478937.18</v>
      </c>
      <c r="G40" s="2">
        <v>457087.53</v>
      </c>
      <c r="H40" s="2">
        <v>224057.66</v>
      </c>
      <c r="I40" s="2">
        <v>386623.33</v>
      </c>
      <c r="J40" s="2"/>
      <c r="K40" s="2"/>
      <c r="L40" s="2"/>
      <c r="M40" s="2"/>
      <c r="N40" s="2"/>
      <c r="O40" s="2"/>
      <c r="Q40" s="2">
        <f>SUM(OSRRefD14_20x)+IFERROR(SUM(OSRRefE14_20x),0)</f>
        <v>2870072.87</v>
      </c>
    </row>
    <row r="41" spans="1:17" s="9" customFormat="1" hidden="1" outlineLevel="1" x14ac:dyDescent="0.3">
      <c r="A41" s="23"/>
      <c r="B41" s="10" t="str">
        <f>CONCATENATE("          ","5500", " - ","FREIGHT-IN")</f>
        <v xml:space="preserve">          5500 - FREIGHT-IN</v>
      </c>
      <c r="C41" s="22"/>
      <c r="D41" s="2">
        <v>3605.14</v>
      </c>
      <c r="E41" s="2">
        <v>6605.18</v>
      </c>
      <c r="F41" s="2">
        <v>17166.12</v>
      </c>
      <c r="G41" s="2">
        <v>22303.71</v>
      </c>
      <c r="H41" s="2">
        <v>11121.1</v>
      </c>
      <c r="I41" s="2">
        <v>9525.24</v>
      </c>
      <c r="J41" s="2"/>
      <c r="K41" s="2"/>
      <c r="L41" s="2"/>
      <c r="M41" s="2"/>
      <c r="N41" s="2"/>
      <c r="O41" s="2"/>
      <c r="Q41" s="2">
        <f>SUM(OSRRefD14_21x)+IFERROR(SUM(OSRRefE14_21x),0)</f>
        <v>70326.489999999991</v>
      </c>
    </row>
    <row r="42" spans="1:17" s="9" customFormat="1" hidden="1" outlineLevel="1" x14ac:dyDescent="0.3">
      <c r="A42" s="23"/>
      <c r="B42" s="10" t="str">
        <f>CONCATENATE("          ","5501", " - ","FREIGHT-IN-NEW TEXT")</f>
        <v xml:space="preserve">          5501 - FREIGHT-IN-NEW TEXT</v>
      </c>
      <c r="C42" s="22"/>
      <c r="D42" s="2">
        <v>0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3"/>
      <c r="B43" s="10" t="str">
        <f>CONCATENATE("          ","5502", " - ","FREIGHT-IN-USED TEXT")</f>
        <v xml:space="preserve">          5502 - FREIGHT-IN-USED TEXT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3"/>
      <c r="B44" s="10" t="str">
        <f>CONCATENATE("          ","5518", " - ","FREIGHT-IN-STUDY GUIDES")</f>
        <v xml:space="preserve">          5518 - FREIGHT-IN-STUDY GUIDES</v>
      </c>
      <c r="C44" s="22"/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3"/>
      <c r="B45" s="10" t="str">
        <f>CONCATENATE("          ","5527", " - ","FREIGHT-IN-SCHOOL SUPPLIES")</f>
        <v xml:space="preserve">          5527 - FREIGHT-IN-SCHOOL SUPPLIES</v>
      </c>
      <c r="C45" s="22"/>
      <c r="D45" s="2"/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3"/>
      <c r="B46" s="10" t="str">
        <f>CONCATENATE("          ","5528", " - ","FREIGHT-IN-ART/TECH")</f>
        <v xml:space="preserve">          5528 - FREIGHT-IN-ART/TECH</v>
      </c>
      <c r="C46" s="22"/>
      <c r="D46" s="2"/>
      <c r="E46" s="2">
        <v>0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s="9" customFormat="1" hidden="1" outlineLevel="1" x14ac:dyDescent="0.3">
      <c r="A47" s="23"/>
      <c r="B47" s="10" t="str">
        <f>CONCATENATE("          ","5540", " - ","FREIGHT-IN-LOGO CLOTHING")</f>
        <v xml:space="preserve">          5540 - FREIGHT-IN-LOGO CLOTHING</v>
      </c>
      <c r="C47" s="22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SUM(OSRRefD14_27x)+IFERROR(SUM(OSRRefE14_27x),0)</f>
        <v>0</v>
      </c>
    </row>
    <row r="48" spans="1:17" s="9" customFormat="1" hidden="1" outlineLevel="1" x14ac:dyDescent="0.3">
      <c r="A48" s="23"/>
      <c r="B48" s="10" t="str">
        <f>CONCATENATE("          ","5541", " - ","FREIGHT-IN-LOGO GIFTS")</f>
        <v xml:space="preserve">          5541 - FREIGHT-IN-LOGO GIFTS</v>
      </c>
      <c r="C48" s="22"/>
      <c r="D48" s="2">
        <v>0</v>
      </c>
      <c r="E48" s="2">
        <v>0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Q48" s="2">
        <f>SUM(OSRRefD14_28x)+IFERROR(SUM(OSRRefE14_28x),0)</f>
        <v>0</v>
      </c>
    </row>
    <row r="49" spans="1:17" s="9" customFormat="1" hidden="1" outlineLevel="1" x14ac:dyDescent="0.3">
      <c r="A49" s="23"/>
      <c r="B49" s="10" t="str">
        <f>CONCATENATE("          ","5542", " - ","FREIGHT-IN-EVERYDAY GIFTS")</f>
        <v xml:space="preserve">          5542 - FREIGHT-IN-EVERYDAY GIFTS</v>
      </c>
      <c r="C49" s="22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SUM(OSRRefD14_29x)+IFERROR(SUM(OSRRefE14_29x),0)</f>
        <v>0</v>
      </c>
    </row>
    <row r="50" spans="1:17" s="9" customFormat="1" hidden="1" outlineLevel="1" x14ac:dyDescent="0.3">
      <c r="A50" s="23"/>
      <c r="B50" s="10" t="str">
        <f>CONCATENATE("          ","5544", " - ","FREIGHT-IN-ACCESSORIES")</f>
        <v xml:space="preserve">          5544 - FREIGHT-IN-ACCESSORIES</v>
      </c>
      <c r="C50" s="22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SUM(OSRRefD14_30x)+IFERROR(SUM(OSRRefE14_30x),0)</f>
        <v>0</v>
      </c>
    </row>
    <row r="51" spans="1:17" s="9" customFormat="1" hidden="1" outlineLevel="1" x14ac:dyDescent="0.3">
      <c r="A51" s="23"/>
      <c r="B51" s="10" t="str">
        <f>CONCATENATE("          ","5545", " - ","FREIGHT-IN-SPECIAL ORDERS")</f>
        <v xml:space="preserve">          5545 - FREIGHT-IN-SPECIAL ORDERS</v>
      </c>
      <c r="C51" s="22"/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SUM(OSRRefD14_31x)+IFERROR(SUM(OSRRefE14_31x),0)</f>
        <v>0</v>
      </c>
    </row>
    <row r="52" spans="1:17" s="9" customFormat="1" hidden="1" outlineLevel="1" x14ac:dyDescent="0.3">
      <c r="A52" s="23"/>
      <c r="B52" s="10" t="str">
        <f>CONCATENATE("          ","5583", " - ","FREIGHT-IN-COMPUTER EQUIPMENT")</f>
        <v xml:space="preserve">          5583 - FREIGHT-IN-COMPUTER EQUIPMENT</v>
      </c>
      <c r="C52" s="22"/>
      <c r="D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Q52" s="2">
        <f>SUM(OSRRefD14_32x)+IFERROR(SUM(OSRRefE14_32x),0)</f>
        <v>0</v>
      </c>
    </row>
    <row r="53" spans="1:17" x14ac:dyDescent="0.3">
      <c r="A53" s="5"/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</row>
    <row r="54" spans="1:17" s="15" customFormat="1" x14ac:dyDescent="0.3">
      <c r="A54" s="6"/>
      <c r="B54" s="17" t="s">
        <v>105</v>
      </c>
      <c r="C54" s="17"/>
      <c r="D54" s="7">
        <f t="shared" ref="D54:O54" si="2">IFERROR(+D10-D19, 0)</f>
        <v>106011.60999999999</v>
      </c>
      <c r="E54" s="7">
        <f t="shared" si="2"/>
        <v>572036.92000000016</v>
      </c>
      <c r="F54" s="7">
        <f t="shared" si="2"/>
        <v>256742.40999999997</v>
      </c>
      <c r="G54" s="7">
        <f t="shared" si="2"/>
        <v>238472.60000000003</v>
      </c>
      <c r="H54" s="7">
        <f t="shared" si="2"/>
        <v>166264.75999999998</v>
      </c>
      <c r="I54" s="7">
        <f t="shared" si="2"/>
        <v>253837.33000000007</v>
      </c>
      <c r="J54" s="7">
        <f t="shared" si="2"/>
        <v>701302</v>
      </c>
      <c r="K54" s="7">
        <f t="shared" si="2"/>
        <v>260908</v>
      </c>
      <c r="L54" s="7">
        <f t="shared" si="2"/>
        <v>213485</v>
      </c>
      <c r="M54" s="7">
        <f t="shared" si="2"/>
        <v>217899</v>
      </c>
      <c r="N54" s="7">
        <f t="shared" si="2"/>
        <v>242300</v>
      </c>
      <c r="O54" s="7">
        <f t="shared" si="2"/>
        <v>145123</v>
      </c>
      <c r="Q54" s="7">
        <f>IFERROR(+Q10-Q19, 0)</f>
        <v>3374382.629999999</v>
      </c>
    </row>
    <row r="55" spans="1:17" s="6" customFormat="1" x14ac:dyDescent="0.3">
      <c r="B55" s="16"/>
      <c r="C55" s="16"/>
      <c r="D55" s="4">
        <f t="shared" ref="D55:O55" si="3">IFERROR(D54/D10, 0)</f>
        <v>0.33568743727923839</v>
      </c>
      <c r="E55" s="4">
        <f t="shared" si="3"/>
        <v>0.30818164834021877</v>
      </c>
      <c r="F55" s="4">
        <f t="shared" si="3"/>
        <v>0.33812476323158841</v>
      </c>
      <c r="G55" s="4">
        <f t="shared" si="3"/>
        <v>0.35200799499793045</v>
      </c>
      <c r="H55" s="4">
        <f t="shared" si="3"/>
        <v>0.42932934200512801</v>
      </c>
      <c r="I55" s="4">
        <f t="shared" si="3"/>
        <v>0.40179063685957878</v>
      </c>
      <c r="J55" s="4">
        <f t="shared" si="3"/>
        <v>0.32212801394153945</v>
      </c>
      <c r="K55" s="4">
        <f t="shared" si="3"/>
        <v>0.39862494652569824</v>
      </c>
      <c r="L55" s="4">
        <f t="shared" si="3"/>
        <v>0.4549794445663965</v>
      </c>
      <c r="M55" s="4">
        <f t="shared" si="3"/>
        <v>0.38954220089671987</v>
      </c>
      <c r="N55" s="4">
        <f t="shared" si="3"/>
        <v>0.31535148741001812</v>
      </c>
      <c r="O55" s="4">
        <f t="shared" si="3"/>
        <v>0.37133806366760402</v>
      </c>
      <c r="P55" s="18"/>
      <c r="Q55" s="4">
        <f>IFERROR(Q54/Q10, 0)</f>
        <v>0.34978054262513147</v>
      </c>
    </row>
    <row r="56" spans="1:17" x14ac:dyDescent="0.3">
      <c r="A56" s="5"/>
      <c r="B56" s="6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</row>
    <row r="57" spans="1:17" s="15" customFormat="1" x14ac:dyDescent="0.3">
      <c r="A57" s="6"/>
      <c r="B57" s="16" t="s">
        <v>255</v>
      </c>
      <c r="C57" s="6"/>
      <c r="D57" s="12">
        <f>SUM(OSRRefD20x_0)</f>
        <v>380314.99999999994</v>
      </c>
      <c r="E57" s="12">
        <f>SUM(OSRRefD20x_1)</f>
        <v>354002.82</v>
      </c>
      <c r="F57" s="12">
        <f>SUM(OSRRefD20x_2)</f>
        <v>304069.21999999997</v>
      </c>
      <c r="G57" s="12">
        <f>SUM(OSRRefD20x_3)</f>
        <v>347091.7</v>
      </c>
      <c r="H57" s="12">
        <f>SUM(OSRRefD20x_4)</f>
        <v>277639.68999999994</v>
      </c>
      <c r="I57" s="12">
        <f>SUM(OSRRefD20x_5)</f>
        <v>288966.49000000005</v>
      </c>
      <c r="J57" s="12">
        <f>SUM(OSRRefE20x_0)</f>
        <v>456710.69792934385</v>
      </c>
      <c r="K57" s="12">
        <f>SUM(OSRRefE20x_1)</f>
        <v>336859.11420512508</v>
      </c>
      <c r="L57" s="12">
        <f>SUM(OSRRefE20x_2)</f>
        <v>291416.63266662508</v>
      </c>
      <c r="M57" s="12">
        <f>SUM(OSRRefE20x_3)</f>
        <v>344535.79096984386</v>
      </c>
      <c r="N57" s="12">
        <f>SUM(OSRRefE20x_4)</f>
        <v>299967.53450962505</v>
      </c>
      <c r="O57" s="12">
        <f>SUM(OSRRefE20x_5)</f>
        <v>292398.14236607507</v>
      </c>
      <c r="Q57" s="12">
        <f>SUM(OSRRefG20x)</f>
        <v>3973972.8326466382</v>
      </c>
    </row>
    <row r="58" spans="1:17" s="35" customFormat="1" collapsed="1" x14ac:dyDescent="0.3">
      <c r="A58" s="34"/>
      <c r="B58" s="14" t="str">
        <f>CONCATENATE("     ","*Benefits                                         ")</f>
        <v xml:space="preserve">     *Benefits                                         </v>
      </c>
      <c r="C58" s="14"/>
      <c r="D58" s="1">
        <f>SUM(OSRRefD21_0x_0)</f>
        <v>49585.960000000006</v>
      </c>
      <c r="E58" s="1">
        <f>SUM(OSRRefD21_0x_1)</f>
        <v>53095.48000000001</v>
      </c>
      <c r="F58" s="1">
        <f>SUM(OSRRefD21_0x_2)</f>
        <v>47590.890000000014</v>
      </c>
      <c r="G58" s="1">
        <f>SUM(OSRRefD21_0x_3)</f>
        <v>62132.15</v>
      </c>
      <c r="H58" s="1">
        <f>SUM(OSRRefD21_0x_4)</f>
        <v>53595.409999999996</v>
      </c>
      <c r="I58" s="1">
        <f>SUM(OSRRefD21_0x_5)</f>
        <v>46521.07</v>
      </c>
      <c r="J58" s="1">
        <f>SUM(OSRRefE21_0x_0)</f>
        <v>58567.44286219967</v>
      </c>
      <c r="K58" s="1">
        <f>SUM(OSRRefE21_0x_1)</f>
        <v>46270.729246409792</v>
      </c>
      <c r="L58" s="1">
        <f>SUM(OSRRefE21_0x_2)</f>
        <v>45714.469157909785</v>
      </c>
      <c r="M58" s="1">
        <f>SUM(OSRRefE21_0x_3)</f>
        <v>53525.96810269967</v>
      </c>
      <c r="N58" s="1">
        <f>SUM(OSRRefE21_0x_4)</f>
        <v>45977.729750909784</v>
      </c>
      <c r="O58" s="1">
        <f>SUM(OSRRefE21_0x_5)</f>
        <v>45493.554582359786</v>
      </c>
      <c r="Q58" s="2">
        <f>SUM(OSRRefD20_0x)+IFERROR(SUM(OSRRefE20_0x),0)</f>
        <v>608070.85370248859</v>
      </c>
    </row>
    <row r="59" spans="1:17" s="35" customFormat="1" hidden="1" outlineLevel="1" x14ac:dyDescent="0.3">
      <c r="A59" s="34"/>
      <c r="B59" s="10" t="str">
        <f>CONCATENATE("          ","6111", " - ","F.I.C.A.")</f>
        <v xml:space="preserve">          6111 - F.I.C.A.</v>
      </c>
      <c r="C59" s="14"/>
      <c r="D59" s="2">
        <v>10281.57</v>
      </c>
      <c r="E59" s="2">
        <v>12726.71</v>
      </c>
      <c r="F59" s="2">
        <v>8148.35</v>
      </c>
      <c r="G59" s="2">
        <v>11388.1</v>
      </c>
      <c r="H59" s="2">
        <v>9314.69</v>
      </c>
      <c r="I59" s="2">
        <v>7261.21</v>
      </c>
      <c r="J59" s="2">
        <v>12834.3650433026</v>
      </c>
      <c r="K59" s="2">
        <v>9541.4519246420805</v>
      </c>
      <c r="L59" s="2">
        <v>9461.2790966420798</v>
      </c>
      <c r="M59" s="2">
        <v>11783.9869668026</v>
      </c>
      <c r="N59" s="2">
        <v>9461.2790966420798</v>
      </c>
      <c r="O59" s="2">
        <v>9402.3617108420804</v>
      </c>
      <c r="P59" s="9"/>
      <c r="Q59" s="2">
        <f>SUM(OSRRefD21_0_0x)+IFERROR(SUM(OSRRefE21_0_0x),0)</f>
        <v>121605.35383887352</v>
      </c>
    </row>
    <row r="60" spans="1:17" s="35" customFormat="1" hidden="1" outlineLevel="1" x14ac:dyDescent="0.3">
      <c r="A60" s="34"/>
      <c r="B60" s="10" t="str">
        <f>CONCATENATE("          ","6112", " - ","COMPENSATION INSURANCE")</f>
        <v xml:space="preserve">          6112 - COMPENSATION INSURANCE</v>
      </c>
      <c r="C60" s="14"/>
      <c r="D60" s="2">
        <v>2150.77</v>
      </c>
      <c r="E60" s="2">
        <v>2652.38</v>
      </c>
      <c r="F60" s="2">
        <v>2621.37</v>
      </c>
      <c r="G60" s="2">
        <v>3479.06</v>
      </c>
      <c r="H60" s="2">
        <v>2531.86</v>
      </c>
      <c r="I60" s="2">
        <v>2326.8200000000002</v>
      </c>
      <c r="J60" s="2">
        <v>4398.1360258499999</v>
      </c>
      <c r="K60" s="2">
        <v>2623.3615468799999</v>
      </c>
      <c r="L60" s="2">
        <v>2467.66005288</v>
      </c>
      <c r="M60" s="2">
        <v>3092.8717018500001</v>
      </c>
      <c r="N60" s="2">
        <v>2553.75785688</v>
      </c>
      <c r="O60" s="2">
        <v>2414.6798398800001</v>
      </c>
      <c r="P60" s="9"/>
      <c r="Q60" s="2">
        <f>SUM(OSRRefD21_0_1x)+IFERROR(SUM(OSRRefE21_0_1x),0)</f>
        <v>33312.727024220003</v>
      </c>
    </row>
    <row r="61" spans="1:17" s="35" customFormat="1" hidden="1" outlineLevel="1" x14ac:dyDescent="0.3">
      <c r="A61" s="34"/>
      <c r="B61" s="10" t="str">
        <f>CONCATENATE("          ","6113", " - ","GROUP INSURANCE")</f>
        <v xml:space="preserve">          6113 - GROUP INSURANCE</v>
      </c>
      <c r="C61" s="14"/>
      <c r="D61" s="2">
        <v>18724.77</v>
      </c>
      <c r="E61" s="2">
        <v>18062.150000000001</v>
      </c>
      <c r="F61" s="2">
        <v>18116.18</v>
      </c>
      <c r="G61" s="2">
        <v>19420.740000000002</v>
      </c>
      <c r="H61" s="2">
        <v>18829.060000000001</v>
      </c>
      <c r="I61" s="2">
        <v>17404.55</v>
      </c>
      <c r="J61" s="2">
        <v>17880.6538461538</v>
      </c>
      <c r="K61" s="2">
        <v>16659.4230769231</v>
      </c>
      <c r="L61" s="2">
        <v>16659.4230769231</v>
      </c>
      <c r="M61" s="2">
        <v>17880.6538461538</v>
      </c>
      <c r="N61" s="2">
        <v>16659.4230769231</v>
      </c>
      <c r="O61" s="2">
        <v>16659.4230769231</v>
      </c>
      <c r="P61" s="9"/>
      <c r="Q61" s="2">
        <f>SUM(OSRRefD21_0_2x)+IFERROR(SUM(OSRRefE21_0_2x),0)</f>
        <v>212956.45</v>
      </c>
    </row>
    <row r="62" spans="1:17" s="35" customFormat="1" hidden="1" outlineLevel="1" x14ac:dyDescent="0.3">
      <c r="A62" s="34"/>
      <c r="B62" s="10" t="str">
        <f>CONCATENATE("          ","6114", " - ","STATE UNEMPLOYMENT INSURANCE")</f>
        <v xml:space="preserve">          6114 - STATE UNEMPLOYMENT INSURANCE</v>
      </c>
      <c r="C62" s="14"/>
      <c r="D62" s="2">
        <v>388.69</v>
      </c>
      <c r="E62" s="2">
        <v>480.4</v>
      </c>
      <c r="F62" s="2">
        <v>473.03</v>
      </c>
      <c r="G62" s="2">
        <v>625.22</v>
      </c>
      <c r="H62" s="2">
        <v>454.47</v>
      </c>
      <c r="I62" s="2">
        <v>418.44</v>
      </c>
      <c r="J62" s="2">
        <v>592.05677271057596</v>
      </c>
      <c r="K62" s="2">
        <v>353.144823618462</v>
      </c>
      <c r="L62" s="2">
        <v>332.18500711846201</v>
      </c>
      <c r="M62" s="2">
        <v>416.34811371057702</v>
      </c>
      <c r="N62" s="2">
        <v>343.77509611846199</v>
      </c>
      <c r="O62" s="2">
        <v>325.05305536846203</v>
      </c>
      <c r="P62" s="9"/>
      <c r="Q62" s="2">
        <f>SUM(OSRRefD21_0_3x)+IFERROR(SUM(OSRRefE21_0_3x),0)</f>
        <v>5202.8128686450009</v>
      </c>
    </row>
    <row r="63" spans="1:17" s="35" customFormat="1" hidden="1" outlineLevel="1" x14ac:dyDescent="0.3">
      <c r="A63" s="34"/>
      <c r="B63" s="10" t="str">
        <f>CONCATENATE("          ","6115", " - ","P.E.R.S.")</f>
        <v xml:space="preserve">          6115 - P.E.R.S.</v>
      </c>
      <c r="C63" s="14"/>
      <c r="D63" s="2">
        <v>6430.13</v>
      </c>
      <c r="E63" s="2">
        <v>6395.48</v>
      </c>
      <c r="F63" s="2">
        <v>6395.48</v>
      </c>
      <c r="G63" s="2">
        <v>9593.2199999999993</v>
      </c>
      <c r="H63" s="2">
        <v>8674.23</v>
      </c>
      <c r="I63" s="2">
        <v>5807</v>
      </c>
      <c r="J63" s="2">
        <v>5522.20547148077</v>
      </c>
      <c r="K63" s="2">
        <v>4417.7643771846097</v>
      </c>
      <c r="L63" s="2">
        <v>4417.7643771846097</v>
      </c>
      <c r="M63" s="2">
        <v>5522.20547148077</v>
      </c>
      <c r="N63" s="2">
        <v>4417.7643771846097</v>
      </c>
      <c r="O63" s="2">
        <v>4417.7643771846097</v>
      </c>
      <c r="P63" s="9"/>
      <c r="Q63" s="2">
        <f>SUM(OSRRefD21_0_4x)+IFERROR(SUM(OSRRefE21_0_4x),0)</f>
        <v>72011.008451699978</v>
      </c>
    </row>
    <row r="64" spans="1:17" s="35" customFormat="1" hidden="1" outlineLevel="1" x14ac:dyDescent="0.3">
      <c r="A64" s="34"/>
      <c r="B64" s="10" t="str">
        <f>CONCATENATE("          ","6116", " - ","EDUCATIONAL BENEFITS")</f>
        <v xml:space="preserve">          6116 - EDUCATIONAL BENEFITS</v>
      </c>
      <c r="C64" s="14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SUM(OSRRefD21_0_5x)+IFERROR(SUM(OSRRefE21_0_5x),0)</f>
        <v>0</v>
      </c>
    </row>
    <row r="65" spans="1:17" s="35" customFormat="1" hidden="1" outlineLevel="1" x14ac:dyDescent="0.3">
      <c r="A65" s="34"/>
      <c r="B65" s="10" t="str">
        <f>CONCATENATE("          ","6117", " - ","RETIREMENT STAFF HOURLY")</f>
        <v xml:space="preserve">          6117 - RETIREMENT STAFF HOURLY</v>
      </c>
      <c r="C65" s="14"/>
      <c r="D65" s="2">
        <v>715.55</v>
      </c>
      <c r="E65" s="2">
        <v>1022.68</v>
      </c>
      <c r="F65" s="2">
        <v>484.12</v>
      </c>
      <c r="G65" s="2">
        <v>-363.97</v>
      </c>
      <c r="H65" s="2">
        <v>708.42</v>
      </c>
      <c r="I65" s="2">
        <v>710.27</v>
      </c>
      <c r="J65" s="2"/>
      <c r="K65" s="2"/>
      <c r="L65" s="2"/>
      <c r="M65" s="2"/>
      <c r="N65" s="2"/>
      <c r="O65" s="2"/>
      <c r="P65" s="9"/>
      <c r="Q65" s="2">
        <f>SUM(OSRRefD21_0_6x)+IFERROR(SUM(OSRRefE21_0_6x),0)</f>
        <v>3277.0699999999997</v>
      </c>
    </row>
    <row r="66" spans="1:17" s="35" customFormat="1" hidden="1" outlineLevel="1" x14ac:dyDescent="0.3">
      <c r="A66" s="34"/>
      <c r="B66" s="10" t="str">
        <f>CONCATENATE("          ","6118", " - ","VACATION")</f>
        <v xml:space="preserve">          6118 - VACATION</v>
      </c>
      <c r="C66" s="14"/>
      <c r="D66" s="2">
        <v>5468.55</v>
      </c>
      <c r="E66" s="2">
        <v>5611.54</v>
      </c>
      <c r="F66" s="2">
        <v>4797.8</v>
      </c>
      <c r="G66" s="2">
        <v>7935.31</v>
      </c>
      <c r="H66" s="2">
        <v>5865.59</v>
      </c>
      <c r="I66" s="2">
        <v>5630.2</v>
      </c>
      <c r="J66" s="2">
        <v>4965.59355333654</v>
      </c>
      <c r="K66" s="2">
        <v>3972.4748426692299</v>
      </c>
      <c r="L66" s="2">
        <v>3972.4748426692299</v>
      </c>
      <c r="M66" s="2">
        <v>4965.59355333654</v>
      </c>
      <c r="N66" s="2">
        <v>3972.4748426692299</v>
      </c>
      <c r="O66" s="2">
        <v>3972.4748426692299</v>
      </c>
      <c r="P66" s="9"/>
      <c r="Q66" s="2">
        <f>SUM(OSRRefD21_0_7x)+IFERROR(SUM(OSRRefE21_0_7x),0)</f>
        <v>61130.076477349998</v>
      </c>
    </row>
    <row r="67" spans="1:17" s="35" customFormat="1" hidden="1" outlineLevel="1" x14ac:dyDescent="0.3">
      <c r="A67" s="34"/>
      <c r="B67" s="10" t="str">
        <f>CONCATENATE("          ","6119", " - ","SICK LEAVE")</f>
        <v xml:space="preserve">          6119 - SICK LEAVE</v>
      </c>
      <c r="C67" s="14"/>
      <c r="D67" s="2">
        <v>3967.23</v>
      </c>
      <c r="E67" s="2">
        <v>3959.85</v>
      </c>
      <c r="F67" s="2">
        <v>4045.97</v>
      </c>
      <c r="G67" s="2">
        <v>5810.98</v>
      </c>
      <c r="H67" s="2">
        <v>4021.51</v>
      </c>
      <c r="I67" s="2">
        <v>4021.51</v>
      </c>
      <c r="J67" s="2">
        <v>9749.4321493653897</v>
      </c>
      <c r="K67" s="2">
        <v>6078.1086544923101</v>
      </c>
      <c r="L67" s="2">
        <v>5778.6827044923002</v>
      </c>
      <c r="M67" s="2">
        <v>7239.3084493653896</v>
      </c>
      <c r="N67" s="2">
        <v>5944.2554044922999</v>
      </c>
      <c r="O67" s="2">
        <v>5676.7976794922997</v>
      </c>
      <c r="P67" s="9"/>
      <c r="Q67" s="2">
        <f>SUM(OSRRefD21_0_8x)+IFERROR(SUM(OSRRefE21_0_8x),0)</f>
        <v>66293.635041700007</v>
      </c>
    </row>
    <row r="68" spans="1:17" s="35" customFormat="1" hidden="1" outlineLevel="1" x14ac:dyDescent="0.3">
      <c r="A68" s="34"/>
      <c r="B68" s="10" t="str">
        <f>CONCATENATE("          ","6156", " - ","EMPLOYEE MEALS")</f>
        <v xml:space="preserve">          6156 - EMPLOYEE MEALS</v>
      </c>
      <c r="C68" s="14"/>
      <c r="D68" s="2">
        <v>1458.7</v>
      </c>
      <c r="E68" s="2">
        <v>2184.29</v>
      </c>
      <c r="F68" s="2">
        <v>2508.59</v>
      </c>
      <c r="G68" s="2">
        <v>4243.49</v>
      </c>
      <c r="H68" s="2">
        <v>3195.58</v>
      </c>
      <c r="I68" s="2">
        <v>2941.07</v>
      </c>
      <c r="J68" s="2">
        <v>2625</v>
      </c>
      <c r="K68" s="2">
        <v>2625</v>
      </c>
      <c r="L68" s="2">
        <v>2625</v>
      </c>
      <c r="M68" s="2">
        <v>2625</v>
      </c>
      <c r="N68" s="2">
        <v>2625</v>
      </c>
      <c r="O68" s="2">
        <v>2625</v>
      </c>
      <c r="P68" s="9"/>
      <c r="Q68" s="2">
        <f>SUM(OSRRefD21_0_9x)+IFERROR(SUM(OSRRefE21_0_9x),0)</f>
        <v>32281.72</v>
      </c>
    </row>
    <row r="69" spans="1:17" s="35" customFormat="1" collapsed="1" x14ac:dyDescent="0.3">
      <c r="A69" s="34"/>
      <c r="B69" s="14" t="str">
        <f>CONCATENATE("     ","*Payroll                                          ")</f>
        <v xml:space="preserve">     *Payroll                                          </v>
      </c>
      <c r="C69" s="14"/>
      <c r="D69" s="1">
        <f>SUM(OSRRefD21_1x_0)</f>
        <v>176783.51</v>
      </c>
      <c r="E69" s="1">
        <f>SUM(OSRRefD21_1x_1)</f>
        <v>195958.27</v>
      </c>
      <c r="F69" s="1">
        <f>SUM(OSRRefD21_1x_2)</f>
        <v>168420.47</v>
      </c>
      <c r="G69" s="1">
        <f>SUM(OSRRefD21_1x_3)</f>
        <v>184744.09000000003</v>
      </c>
      <c r="H69" s="1">
        <f>SUM(OSRRefD21_1x_4)</f>
        <v>130608.32000000002</v>
      </c>
      <c r="I69" s="1">
        <f>SUM(OSRRefD21_1x_5)</f>
        <v>158655.63</v>
      </c>
      <c r="J69" s="1">
        <f>SUM(OSRRefE21_1x_0)</f>
        <v>273702.25506714417</v>
      </c>
      <c r="K69" s="1">
        <f>SUM(OSRRefE21_1x_1)</f>
        <v>161211.38495871529</v>
      </c>
      <c r="L69" s="1">
        <f>SUM(OSRRefE21_1x_2)</f>
        <v>151115.16350871528</v>
      </c>
      <c r="M69" s="1">
        <f>SUM(OSRRefE21_1x_3)</f>
        <v>189409.82286714422</v>
      </c>
      <c r="N69" s="1">
        <f>SUM(OSRRefE21_1x_4)</f>
        <v>156682.80475871527</v>
      </c>
      <c r="O69" s="1">
        <f>SUM(OSRRefE21_1x_5)</f>
        <v>147608.58778371528</v>
      </c>
      <c r="Q69" s="2">
        <f>SUM(OSRRefD20_1x)+IFERROR(SUM(OSRRefE20_1x),0)</f>
        <v>2094900.3089441499</v>
      </c>
    </row>
    <row r="70" spans="1:17" s="35" customFormat="1" hidden="1" outlineLevel="1" x14ac:dyDescent="0.3">
      <c r="A70" s="34"/>
      <c r="B70" s="10" t="str">
        <f>CONCATENATE("          ","6001", " - ","ADMINISTRATIVE SALARIES")</f>
        <v xml:space="preserve">          6001 - ADMINISTRATIVE SALARIES</v>
      </c>
      <c r="C70" s="14"/>
      <c r="D70" s="2">
        <v>5599.1</v>
      </c>
      <c r="E70" s="2">
        <v>4479.1000000000004</v>
      </c>
      <c r="F70" s="2">
        <v>4479.1000000000004</v>
      </c>
      <c r="G70" s="2">
        <v>4926.78</v>
      </c>
      <c r="H70" s="2">
        <v>4192.43</v>
      </c>
      <c r="I70" s="2">
        <v>4658.26</v>
      </c>
      <c r="J70" s="2">
        <v>5174.7596153846198</v>
      </c>
      <c r="K70" s="2">
        <v>4139.8076923076896</v>
      </c>
      <c r="L70" s="2">
        <v>4139.8076923076896</v>
      </c>
      <c r="M70" s="2">
        <v>5174.7596153846198</v>
      </c>
      <c r="N70" s="2">
        <v>4139.8076923076896</v>
      </c>
      <c r="O70" s="2">
        <v>4139.8076923076896</v>
      </c>
      <c r="P70" s="9"/>
      <c r="Q70" s="2">
        <f>SUM(OSRRefD21_1_0x)+IFERROR(SUM(OSRRefE21_1_0x),0)</f>
        <v>55243.519999999997</v>
      </c>
    </row>
    <row r="71" spans="1:17" s="35" customFormat="1" hidden="1" outlineLevel="1" x14ac:dyDescent="0.3">
      <c r="A71" s="34"/>
      <c r="B71" s="10" t="str">
        <f>CONCATENATE("          ","6002", " - ","STAFF SALARIES")</f>
        <v xml:space="preserve">          6002 - STAFF SALARIES</v>
      </c>
      <c r="C71" s="14"/>
      <c r="D71" s="2">
        <v>73650.66</v>
      </c>
      <c r="E71" s="2">
        <v>59729.71</v>
      </c>
      <c r="F71" s="2">
        <v>60625.02</v>
      </c>
      <c r="G71" s="2">
        <v>64597.599999999999</v>
      </c>
      <c r="H71" s="2">
        <v>40605.300000000003</v>
      </c>
      <c r="I71" s="2">
        <v>53983.72</v>
      </c>
      <c r="J71" s="2">
        <v>52875.7939667596</v>
      </c>
      <c r="K71" s="2">
        <v>42300.635173407602</v>
      </c>
      <c r="L71" s="2">
        <v>42300.635173407602</v>
      </c>
      <c r="M71" s="2">
        <v>52875.7939667596</v>
      </c>
      <c r="N71" s="2">
        <v>42300.635173407602</v>
      </c>
      <c r="O71" s="2">
        <v>42300.635173407602</v>
      </c>
      <c r="P71" s="9"/>
      <c r="Q71" s="2">
        <f>SUM(OSRRefD21_1_1x)+IFERROR(SUM(OSRRefE21_1_1x),0)</f>
        <v>628146.13862714963</v>
      </c>
    </row>
    <row r="72" spans="1:17" s="35" customFormat="1" hidden="1" outlineLevel="1" x14ac:dyDescent="0.3">
      <c r="A72" s="34"/>
      <c r="B72" s="10" t="str">
        <f>CONCATENATE("          ","6003", " - ","STAFF HOURLY-9 MONTH")</f>
        <v xml:space="preserve">          6003 - STAFF HOURLY-9 MONTH</v>
      </c>
      <c r="C72" s="14"/>
      <c r="D72" s="2"/>
      <c r="E72" s="2"/>
      <c r="F72" s="2"/>
      <c r="G72" s="2"/>
      <c r="H72" s="2"/>
      <c r="I72" s="2"/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SUM(OSRRefD21_1_2x)+IFERROR(SUM(OSRRefE21_1_2x),0)</f>
        <v>0</v>
      </c>
    </row>
    <row r="73" spans="1:17" s="35" customFormat="1" hidden="1" outlineLevel="1" x14ac:dyDescent="0.3">
      <c r="A73" s="34"/>
      <c r="B73" s="10" t="str">
        <f>CONCATENATE("          ","6004", " - ","STAFF HOURLY")</f>
        <v xml:space="preserve">          6004 - STAFF HOURLY</v>
      </c>
      <c r="C73" s="14"/>
      <c r="D73" s="2">
        <v>18694.88</v>
      </c>
      <c r="E73" s="2">
        <v>20788.150000000001</v>
      </c>
      <c r="F73" s="2">
        <v>25738.89</v>
      </c>
      <c r="G73" s="2">
        <v>35524.94</v>
      </c>
      <c r="H73" s="2">
        <v>24617.21</v>
      </c>
      <c r="I73" s="2">
        <v>24852.52</v>
      </c>
      <c r="J73" s="2">
        <v>49619.341959999998</v>
      </c>
      <c r="K73" s="2">
        <v>40097.413568000004</v>
      </c>
      <c r="L73" s="2">
        <v>39473.713567999999</v>
      </c>
      <c r="M73" s="2">
        <v>48995.641960000001</v>
      </c>
      <c r="N73" s="2">
        <v>39473.713567999999</v>
      </c>
      <c r="O73" s="2">
        <v>38087.713567999999</v>
      </c>
      <c r="P73" s="9"/>
      <c r="Q73" s="2">
        <f>SUM(OSRRefD21_1_3x)+IFERROR(SUM(OSRRefE21_1_3x),0)</f>
        <v>405964.12819200003</v>
      </c>
    </row>
    <row r="74" spans="1:17" s="35" customFormat="1" hidden="1" outlineLevel="1" x14ac:dyDescent="0.3">
      <c r="A74" s="34"/>
      <c r="B74" s="10" t="str">
        <f>CONCATENATE("          ","6005", " - ","TEMPORARY WAGES-HOURLY")</f>
        <v xml:space="preserve">          6005 - TEMPORARY WAGES-HOURLY</v>
      </c>
      <c r="C74" s="14"/>
      <c r="D74" s="2">
        <v>9447.7999999999993</v>
      </c>
      <c r="E74" s="2">
        <v>9622.7900000000009</v>
      </c>
      <c r="F74" s="2">
        <v>10113.4</v>
      </c>
      <c r="G74" s="2">
        <v>13892.06</v>
      </c>
      <c r="H74" s="2">
        <v>8364.27</v>
      </c>
      <c r="I74" s="2">
        <v>8286.26</v>
      </c>
      <c r="J74" s="2">
        <v>3009.34</v>
      </c>
      <c r="K74" s="2">
        <v>1802</v>
      </c>
      <c r="L74" s="2">
        <v>1802</v>
      </c>
      <c r="M74" s="2">
        <v>2396.66</v>
      </c>
      <c r="N74" s="2">
        <v>2252.5</v>
      </c>
      <c r="O74" s="2">
        <v>2396.66</v>
      </c>
      <c r="P74" s="9"/>
      <c r="Q74" s="2">
        <f>SUM(OSRRefD21_1_4x)+IFERROR(SUM(OSRRefE21_1_4x),0)</f>
        <v>73385.739999999991</v>
      </c>
    </row>
    <row r="75" spans="1:17" s="35" customFormat="1" hidden="1" outlineLevel="1" x14ac:dyDescent="0.3">
      <c r="A75" s="34"/>
      <c r="B75" s="10" t="str">
        <f>CONCATENATE("          ","6006", " - ","TEMPORARY PART TIME")</f>
        <v xml:space="preserve">          6006 - TEMPORARY PART TIME</v>
      </c>
      <c r="C75" s="14"/>
      <c r="D75" s="2">
        <v>2864.4</v>
      </c>
      <c r="E75" s="2">
        <v>3273.79</v>
      </c>
      <c r="F75" s="2">
        <v>2957.46</v>
      </c>
      <c r="G75" s="2">
        <v>781.97</v>
      </c>
      <c r="H75" s="2"/>
      <c r="I75" s="2"/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SUM(OSRRefD21_1_5x)+IFERROR(SUM(OSRRefE21_1_5x),0)</f>
        <v>9877.6200000000008</v>
      </c>
    </row>
    <row r="76" spans="1:17" s="35" customFormat="1" hidden="1" outlineLevel="1" x14ac:dyDescent="0.3">
      <c r="A76" s="34"/>
      <c r="B76" s="10" t="str">
        <f>CONCATENATE("          ","6007", " - ","STUDENT HOURLY")</f>
        <v xml:space="preserve">          6007 - STUDENT HOURLY</v>
      </c>
      <c r="C76" s="14"/>
      <c r="D76" s="2">
        <v>56742.32</v>
      </c>
      <c r="E76" s="2">
        <v>82627.88</v>
      </c>
      <c r="F76" s="2">
        <v>53703.839999999997</v>
      </c>
      <c r="G76" s="2">
        <v>53383.26</v>
      </c>
      <c r="H76" s="2">
        <v>44752.9</v>
      </c>
      <c r="I76" s="2">
        <v>59174.55</v>
      </c>
      <c r="J76" s="2">
        <v>50998.61</v>
      </c>
      <c r="K76" s="2">
        <v>30933.624</v>
      </c>
      <c r="L76" s="2">
        <v>30466.416000000001</v>
      </c>
      <c r="M76" s="2">
        <v>37849.415999999997</v>
      </c>
      <c r="N76" s="2">
        <v>30466.416000000001</v>
      </c>
      <c r="O76" s="2">
        <v>31151.771349999999</v>
      </c>
      <c r="P76" s="9"/>
      <c r="Q76" s="2">
        <f>SUM(OSRRefD21_1_6x)+IFERROR(SUM(OSRRefE21_1_6x),0)</f>
        <v>562251.00335000001</v>
      </c>
    </row>
    <row r="77" spans="1:17" s="35" customFormat="1" hidden="1" outlineLevel="1" x14ac:dyDescent="0.3">
      <c r="A77" s="34"/>
      <c r="B77" s="10" t="str">
        <f>CONCATENATE("          ","6008", " - ","STUDENT HOURLY-FICA EXEMPT")</f>
        <v xml:space="preserve">          6008 - STUDENT HOURLY-FICA EXEMPT</v>
      </c>
      <c r="C77" s="14"/>
      <c r="D77" s="2">
        <v>9784.35</v>
      </c>
      <c r="E77" s="2">
        <v>15436.85</v>
      </c>
      <c r="F77" s="2">
        <v>10802.76</v>
      </c>
      <c r="G77" s="2">
        <v>11637.48</v>
      </c>
      <c r="H77" s="2">
        <v>8076.21</v>
      </c>
      <c r="I77" s="2">
        <v>7700.32</v>
      </c>
      <c r="J77" s="2">
        <v>112024.409525</v>
      </c>
      <c r="K77" s="2">
        <v>41937.904524999998</v>
      </c>
      <c r="L77" s="2">
        <v>32932.591074999997</v>
      </c>
      <c r="M77" s="2">
        <v>42117.551325</v>
      </c>
      <c r="N77" s="2">
        <v>38049.732324999997</v>
      </c>
      <c r="O77" s="2">
        <v>29532</v>
      </c>
      <c r="P77" s="9"/>
      <c r="Q77" s="2">
        <f>SUM(OSRRefD21_1_7x)+IFERROR(SUM(OSRRefE21_1_7x),0)</f>
        <v>360032.15877500002</v>
      </c>
    </row>
    <row r="78" spans="1:17" s="35" customFormat="1" hidden="1" outlineLevel="1" x14ac:dyDescent="0.3">
      <c r="A78" s="34"/>
      <c r="B78" s="10" t="str">
        <f>CONCATENATE("          ","6009", " - ","TEMPORARY-SEASONAL")</f>
        <v xml:space="preserve">          6009 - TEMPORARY-SEASONAL</v>
      </c>
      <c r="C78" s="14"/>
      <c r="D78" s="2"/>
      <c r="E78" s="2"/>
      <c r="F78" s="2"/>
      <c r="G78" s="2"/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SUM(OSRRefD21_1_8x)+IFERROR(SUM(OSRRefE21_1_8x),0)</f>
        <v>0</v>
      </c>
    </row>
    <row r="79" spans="1:17" s="35" customFormat="1" hidden="1" outlineLevel="1" x14ac:dyDescent="0.3">
      <c r="A79" s="34"/>
      <c r="B79" s="10" t="str">
        <f>CONCATENATE("          ","6010", " - ","GRATUITY")</f>
        <v xml:space="preserve">          6010 - GRATUITY</v>
      </c>
      <c r="C79" s="14"/>
      <c r="D79" s="2"/>
      <c r="E79" s="2"/>
      <c r="F79" s="2"/>
      <c r="G79" s="2"/>
      <c r="H79" s="2"/>
      <c r="I79" s="2"/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SUM(OSRRefD21_1_9x)+IFERROR(SUM(OSRRefE21_1_9x),0)</f>
        <v>0</v>
      </c>
    </row>
    <row r="80" spans="1:17" s="35" customFormat="1" collapsed="1" x14ac:dyDescent="0.3">
      <c r="A80" s="34"/>
      <c r="B80" s="14" t="str">
        <f>CONCATENATE("     ","Advertising/Promo                                 ")</f>
        <v xml:space="preserve">     Advertising/Promo                                 </v>
      </c>
      <c r="C80" s="14"/>
      <c r="D80" s="1">
        <f>SUM(OSRRefD21_2x_0)</f>
        <v>539.04999999999995</v>
      </c>
      <c r="E80" s="1">
        <f>SUM(OSRRefD21_2x_1)</f>
        <v>1582.16</v>
      </c>
      <c r="F80" s="1">
        <f>SUM(OSRRefD21_2x_2)</f>
        <v>183.03</v>
      </c>
      <c r="G80" s="1">
        <f>SUM(OSRRefD21_2x_3)</f>
        <v>957.25</v>
      </c>
      <c r="H80" s="1">
        <f>SUM(OSRRefD21_2x_4)</f>
        <v>1689.33</v>
      </c>
      <c r="I80" s="1">
        <f>SUM(OSRRefD21_2x_5)</f>
        <v>722.3</v>
      </c>
      <c r="J80" s="1">
        <f>SUM(OSRRefE21_2x_0)</f>
        <v>800</v>
      </c>
      <c r="K80" s="1">
        <f>SUM(OSRRefE21_2x_1)</f>
        <v>500</v>
      </c>
      <c r="L80" s="1">
        <f>SUM(OSRRefE21_2x_2)</f>
        <v>500</v>
      </c>
      <c r="M80" s="1">
        <f>SUM(OSRRefE21_2x_3)</f>
        <v>500</v>
      </c>
      <c r="N80" s="1">
        <f>SUM(OSRRefE21_2x_4)</f>
        <v>600</v>
      </c>
      <c r="O80" s="1">
        <f>SUM(OSRRefE21_2x_5)</f>
        <v>500</v>
      </c>
      <c r="Q80" s="2">
        <f>SUM(OSRRefD20_2x)+IFERROR(SUM(OSRRefE20_2x),0)</f>
        <v>9073.119999999999</v>
      </c>
    </row>
    <row r="81" spans="1:17" s="35" customFormat="1" hidden="1" outlineLevel="1" x14ac:dyDescent="0.3">
      <c r="A81" s="34"/>
      <c r="B81" s="10" t="str">
        <f>CONCATENATE("          ","6362", " - ","ADVERTISING EXPENSE")</f>
        <v xml:space="preserve">          6362 - ADVERTISING EXPENSE</v>
      </c>
      <c r="C81" s="14"/>
      <c r="D81" s="2">
        <v>539.04999999999995</v>
      </c>
      <c r="E81" s="2">
        <v>1582.16</v>
      </c>
      <c r="F81" s="2">
        <v>183.03</v>
      </c>
      <c r="G81" s="2">
        <v>957.25</v>
      </c>
      <c r="H81" s="2">
        <v>1689.33</v>
      </c>
      <c r="I81" s="2">
        <v>722.3</v>
      </c>
      <c r="J81" s="2">
        <v>800</v>
      </c>
      <c r="K81" s="2">
        <v>500</v>
      </c>
      <c r="L81" s="2">
        <v>500</v>
      </c>
      <c r="M81" s="2">
        <v>500</v>
      </c>
      <c r="N81" s="2">
        <v>600</v>
      </c>
      <c r="O81" s="2">
        <v>500</v>
      </c>
      <c r="P81" s="9"/>
      <c r="Q81" s="2">
        <f>SUM(OSRRefD21_2_0x)+IFERROR(SUM(OSRRefE21_2_0x),0)</f>
        <v>9073.119999999999</v>
      </c>
    </row>
    <row r="82" spans="1:17" s="35" customFormat="1" collapsed="1" x14ac:dyDescent="0.3">
      <c r="A82" s="34"/>
      <c r="B82" s="14" t="str">
        <f>CONCATENATE("     ","Bad Debts/Over/Short                              ")</f>
        <v xml:space="preserve">     Bad Debts/Over/Short                              </v>
      </c>
      <c r="C82" s="14"/>
      <c r="D82" s="1">
        <f>SUM(OSRRefD21_3x_0)</f>
        <v>1.27</v>
      </c>
      <c r="E82" s="1">
        <f>SUM(OSRRefD21_3x_1)</f>
        <v>150.76</v>
      </c>
      <c r="F82" s="1">
        <f>SUM(OSRRefD21_3x_2)</f>
        <v>96.88</v>
      </c>
      <c r="G82" s="1">
        <f>SUM(OSRRefD21_3x_3)</f>
        <v>-30.42</v>
      </c>
      <c r="H82" s="1">
        <f>SUM(OSRRefD21_3x_4)</f>
        <v>-40.770000000000003</v>
      </c>
      <c r="I82" s="1">
        <f>SUM(OSRRefD21_3x_5)</f>
        <v>-24.66</v>
      </c>
      <c r="J82" s="1">
        <f>SUM(OSRRefE21_3x_0)</f>
        <v>235</v>
      </c>
      <c r="K82" s="1">
        <f>SUM(OSRRefE21_3x_1)</f>
        <v>235</v>
      </c>
      <c r="L82" s="1">
        <f>SUM(OSRRefE21_3x_2)</f>
        <v>235</v>
      </c>
      <c r="M82" s="1">
        <f>SUM(OSRRefE21_3x_3)</f>
        <v>235</v>
      </c>
      <c r="N82" s="1">
        <f>SUM(OSRRefE21_3x_4)</f>
        <v>235</v>
      </c>
      <c r="O82" s="1">
        <f>SUM(OSRRefE21_3x_5)</f>
        <v>235</v>
      </c>
      <c r="Q82" s="2">
        <f>SUM(OSRRefD20_3x)+IFERROR(SUM(OSRRefE20_3x),0)</f>
        <v>1563.06</v>
      </c>
    </row>
    <row r="83" spans="1:17" s="35" customFormat="1" hidden="1" outlineLevel="1" x14ac:dyDescent="0.3">
      <c r="A83" s="34"/>
      <c r="B83" s="10" t="str">
        <f>CONCATENATE("          ","6272", " - ","CASH (OVER/SHORT)")</f>
        <v xml:space="preserve">          6272 - CASH (OVER/SHORT)</v>
      </c>
      <c r="C83" s="14"/>
      <c r="D83" s="2">
        <v>1.27</v>
      </c>
      <c r="E83" s="2">
        <v>150.76</v>
      </c>
      <c r="F83" s="2">
        <v>96.88</v>
      </c>
      <c r="G83" s="2">
        <v>-30.42</v>
      </c>
      <c r="H83" s="2">
        <v>-40.770000000000003</v>
      </c>
      <c r="I83" s="2">
        <v>-24.66</v>
      </c>
      <c r="J83" s="2">
        <v>235</v>
      </c>
      <c r="K83" s="2">
        <v>235</v>
      </c>
      <c r="L83" s="2">
        <v>235</v>
      </c>
      <c r="M83" s="2">
        <v>235</v>
      </c>
      <c r="N83" s="2">
        <v>235</v>
      </c>
      <c r="O83" s="2">
        <v>235</v>
      </c>
      <c r="P83" s="9"/>
      <c r="Q83" s="2">
        <f>SUM(OSRRefD21_3_0x)+IFERROR(SUM(OSRRefE21_3_0x),0)</f>
        <v>1563.06</v>
      </c>
    </row>
    <row r="84" spans="1:17" s="35" customFormat="1" collapsed="1" x14ac:dyDescent="0.3">
      <c r="A84" s="34"/>
      <c r="B84" s="14" t="str">
        <f>CONCATENATE("     ","Bank/card Fees                                    ")</f>
        <v xml:space="preserve">     Bank/card Fees                                    </v>
      </c>
      <c r="C84" s="14"/>
      <c r="D84" s="1">
        <f>SUM(OSRRefD21_4x_0)</f>
        <v>3961.88</v>
      </c>
      <c r="E84" s="1">
        <f>SUM(OSRRefD21_4x_1)</f>
        <v>23002.82</v>
      </c>
      <c r="F84" s="1">
        <f>SUM(OSRRefD21_4x_2)</f>
        <v>10623.99</v>
      </c>
      <c r="G84" s="1">
        <f>SUM(OSRRefD21_4x_3)</f>
        <v>12740.8</v>
      </c>
      <c r="H84" s="1">
        <f>SUM(OSRRefD21_4x_4)</f>
        <v>7877.66</v>
      </c>
      <c r="I84" s="1">
        <f>SUM(OSRRefD21_4x_5)</f>
        <v>9159.44</v>
      </c>
      <c r="J84" s="1">
        <f>SUM(OSRRefE21_4x_0)</f>
        <v>35405</v>
      </c>
      <c r="K84" s="1">
        <f>SUM(OSRRefE21_4x_1)</f>
        <v>9656</v>
      </c>
      <c r="L84" s="1">
        <f>SUM(OSRRefE21_4x_2)</f>
        <v>8002</v>
      </c>
      <c r="M84" s="1">
        <f>SUM(OSRRefE21_4x_3)</f>
        <v>9877</v>
      </c>
      <c r="N84" s="1">
        <f>SUM(OSRRefE21_4x_4)</f>
        <v>13471</v>
      </c>
      <c r="O84" s="1">
        <f>SUM(OSRRefE21_4x_5)</f>
        <v>7144</v>
      </c>
      <c r="Q84" s="2">
        <f>SUM(OSRRefD20_4x)+IFERROR(SUM(OSRRefE20_4x),0)</f>
        <v>150921.59000000003</v>
      </c>
    </row>
    <row r="85" spans="1:17" s="35" customFormat="1" hidden="1" outlineLevel="1" x14ac:dyDescent="0.3">
      <c r="A85" s="34"/>
      <c r="B85" s="10" t="str">
        <f>CONCATENATE("          ","6381", " - ","BANK/CREDIT CARD FEES")</f>
        <v xml:space="preserve">          6381 - BANK/CREDIT CARD FEES</v>
      </c>
      <c r="C85" s="14"/>
      <c r="D85" s="2">
        <v>3961.88</v>
      </c>
      <c r="E85" s="2">
        <v>23002.82</v>
      </c>
      <c r="F85" s="2">
        <v>10623.99</v>
      </c>
      <c r="G85" s="2">
        <v>12740.8</v>
      </c>
      <c r="H85" s="2">
        <v>7877.66</v>
      </c>
      <c r="I85" s="2">
        <v>9159.44</v>
      </c>
      <c r="J85" s="2">
        <v>35405</v>
      </c>
      <c r="K85" s="2">
        <v>9656</v>
      </c>
      <c r="L85" s="2">
        <v>8002</v>
      </c>
      <c r="M85" s="2">
        <v>9877</v>
      </c>
      <c r="N85" s="2">
        <v>13471</v>
      </c>
      <c r="O85" s="2">
        <v>7144</v>
      </c>
      <c r="P85" s="9"/>
      <c r="Q85" s="2">
        <f>SUM(OSRRefD21_4_0x)+IFERROR(SUM(OSRRefE21_4_0x),0)</f>
        <v>150921.59000000003</v>
      </c>
    </row>
    <row r="86" spans="1:17" s="35" customFormat="1" collapsed="1" x14ac:dyDescent="0.3">
      <c r="A86" s="34"/>
      <c r="B86" s="14" t="str">
        <f>CONCATENATE("     ","Depreciation                                      ")</f>
        <v xml:space="preserve">     Depreciation                                      </v>
      </c>
      <c r="C86" s="14"/>
      <c r="D86" s="1">
        <f>SUM(OSRRefD21_5x_0)</f>
        <v>31001.120000000003</v>
      </c>
      <c r="E86" s="1">
        <f>SUM(OSRRefD21_5x_1)</f>
        <v>31001.120000000003</v>
      </c>
      <c r="F86" s="1">
        <f>SUM(OSRRefD21_5x_2)</f>
        <v>31001.120000000003</v>
      </c>
      <c r="G86" s="1">
        <f>SUM(OSRRefD21_5x_3)</f>
        <v>30895.300000000003</v>
      </c>
      <c r="H86" s="1">
        <f>SUM(OSRRefD21_5x_4)</f>
        <v>30895.29</v>
      </c>
      <c r="I86" s="1">
        <f>SUM(OSRRefD21_5x_5)</f>
        <v>30895.279999999999</v>
      </c>
      <c r="J86" s="1">
        <f>SUM(OSRRefE21_5x_0)</f>
        <v>28229</v>
      </c>
      <c r="K86" s="1">
        <f>SUM(OSRRefE21_5x_1)</f>
        <v>27419</v>
      </c>
      <c r="L86" s="1">
        <f>SUM(OSRRefE21_5x_2)</f>
        <v>27419</v>
      </c>
      <c r="M86" s="1">
        <f>SUM(OSRRefE21_5x_3)</f>
        <v>16259</v>
      </c>
      <c r="N86" s="1">
        <f>SUM(OSRRefE21_5x_4)</f>
        <v>16259</v>
      </c>
      <c r="O86" s="1">
        <f>SUM(OSRRefE21_5x_5)</f>
        <v>16259</v>
      </c>
      <c r="Q86" s="2">
        <f>SUM(OSRRefD20_5x)+IFERROR(SUM(OSRRefE20_5x),0)</f>
        <v>317533.23</v>
      </c>
    </row>
    <row r="87" spans="1:17" s="35" customFormat="1" hidden="1" outlineLevel="1" x14ac:dyDescent="0.3">
      <c r="A87" s="34"/>
      <c r="B87" s="10" t="str">
        <f>CONCATENATE("          ","6321", " - ","BUILDING DEPRECIATION")</f>
        <v xml:space="preserve">          6321 - BUILDING DEPRECIATION</v>
      </c>
      <c r="C87" s="14"/>
      <c r="D87" s="2">
        <v>16396.52</v>
      </c>
      <c r="E87" s="2">
        <v>16396.52</v>
      </c>
      <c r="F87" s="2">
        <v>16396.52</v>
      </c>
      <c r="G87" s="2">
        <v>16396.52</v>
      </c>
      <c r="H87" s="2">
        <v>16396.52</v>
      </c>
      <c r="I87" s="2">
        <v>16396.509999999998</v>
      </c>
      <c r="J87" s="2"/>
      <c r="K87" s="2"/>
      <c r="L87" s="2"/>
      <c r="M87" s="2"/>
      <c r="N87" s="2"/>
      <c r="O87" s="2"/>
      <c r="P87" s="9"/>
      <c r="Q87" s="2">
        <f>SUM(OSRRefD21_5_0x)+IFERROR(SUM(OSRRefE21_5_0x),0)</f>
        <v>98379.11</v>
      </c>
    </row>
    <row r="88" spans="1:17" s="35" customFormat="1" hidden="1" outlineLevel="1" x14ac:dyDescent="0.3">
      <c r="A88" s="34"/>
      <c r="B88" s="10" t="str">
        <f>CONCATENATE("          ","6322", " - ","EQUIPMENT DEPRECIATION EXPENSE")</f>
        <v xml:space="preserve">          6322 - EQUIPMENT DEPRECIATION EXPENSE</v>
      </c>
      <c r="C88" s="14"/>
      <c r="D88" s="2">
        <v>14604.6</v>
      </c>
      <c r="E88" s="2">
        <v>14604.6</v>
      </c>
      <c r="F88" s="2">
        <v>14604.6</v>
      </c>
      <c r="G88" s="2">
        <v>14498.78</v>
      </c>
      <c r="H88" s="2">
        <v>14498.77</v>
      </c>
      <c r="I88" s="2">
        <v>14498.77</v>
      </c>
      <c r="J88" s="2">
        <v>28229</v>
      </c>
      <c r="K88" s="2">
        <v>27419</v>
      </c>
      <c r="L88" s="2">
        <v>27419</v>
      </c>
      <c r="M88" s="2">
        <v>16259</v>
      </c>
      <c r="N88" s="2">
        <v>16259</v>
      </c>
      <c r="O88" s="2">
        <v>16259</v>
      </c>
      <c r="P88" s="9"/>
      <c r="Q88" s="2">
        <f>SUM(OSRRefD21_5_1x)+IFERROR(SUM(OSRRefE21_5_1x),0)</f>
        <v>219154.12</v>
      </c>
    </row>
    <row r="89" spans="1:17" s="35" customFormat="1" collapsed="1" x14ac:dyDescent="0.3">
      <c r="A89" s="34"/>
      <c r="B89" s="14" t="str">
        <f>CONCATENATE("     ","Discounts and Markdowns                           ")</f>
        <v xml:space="preserve">     Discounts and Markdowns                           </v>
      </c>
      <c r="C89" s="14"/>
      <c r="D89" s="1">
        <f>SUM(OSRRefD21_6x_0)</f>
        <v>-0.68</v>
      </c>
      <c r="E89" s="1">
        <f>SUM(OSRRefD21_6x_1)</f>
        <v>-157.30000000000001</v>
      </c>
      <c r="F89" s="1">
        <f>SUM(OSRRefD21_6x_2)</f>
        <v>135.49</v>
      </c>
      <c r="G89" s="1">
        <f>SUM(OSRRefD21_6x_3)</f>
        <v>-43.75</v>
      </c>
      <c r="H89" s="1">
        <f>SUM(OSRRefD21_6x_4)</f>
        <v>3409.87</v>
      </c>
      <c r="I89" s="1">
        <f>SUM(OSRRefD21_6x_5)</f>
        <v>11.17</v>
      </c>
      <c r="J89" s="1">
        <f>SUM(OSRRefE21_6x_0)</f>
        <v>0</v>
      </c>
      <c r="K89" s="1">
        <f>SUM(OSRRefE21_6x_1)</f>
        <v>0</v>
      </c>
      <c r="L89" s="1">
        <f>SUM(OSRRefE21_6x_2)</f>
        <v>0</v>
      </c>
      <c r="M89" s="1">
        <f>SUM(OSRRefE21_6x_3)</f>
        <v>0</v>
      </c>
      <c r="N89" s="1">
        <f>SUM(OSRRefE21_6x_4)</f>
        <v>0</v>
      </c>
      <c r="O89" s="1">
        <f>SUM(OSRRefE21_6x_5)</f>
        <v>0</v>
      </c>
      <c r="Q89" s="2">
        <f>SUM(OSRRefD20_6x)+IFERROR(SUM(OSRRefE20_6x),0)</f>
        <v>3354.8</v>
      </c>
    </row>
    <row r="90" spans="1:17" s="35" customFormat="1" hidden="1" outlineLevel="1" x14ac:dyDescent="0.3">
      <c r="A90" s="34"/>
      <c r="B90" s="10" t="str">
        <f>CONCATENATE("          ","6382", " - ","DISCOUNTS/MARK DOWNS")</f>
        <v xml:space="preserve">          6382 - DISCOUNTS/MARK DOWNS</v>
      </c>
      <c r="C90" s="14"/>
      <c r="D90" s="2"/>
      <c r="E90" s="2"/>
      <c r="F90" s="2"/>
      <c r="G90" s="2"/>
      <c r="H90" s="2">
        <v>3410</v>
      </c>
      <c r="I90" s="2"/>
      <c r="J90" s="2"/>
      <c r="K90" s="2"/>
      <c r="L90" s="2"/>
      <c r="M90" s="2"/>
      <c r="N90" s="2"/>
      <c r="O90" s="2"/>
      <c r="P90" s="9"/>
      <c r="Q90" s="2">
        <f>SUM(OSRRefD21_6_0x)+IFERROR(SUM(OSRRefE21_6_0x),0)</f>
        <v>3410</v>
      </c>
    </row>
    <row r="91" spans="1:17" s="35" customFormat="1" hidden="1" outlineLevel="1" x14ac:dyDescent="0.3">
      <c r="A91" s="34"/>
      <c r="B91" s="10" t="str">
        <f>CONCATENATE("          ","9175", " - ","EARNED DISCOUNTS")</f>
        <v xml:space="preserve">          9175 - EARNED DISCOUNTS</v>
      </c>
      <c r="C91" s="14"/>
      <c r="D91" s="2">
        <v>-0.68</v>
      </c>
      <c r="E91" s="2">
        <v>-157.30000000000001</v>
      </c>
      <c r="F91" s="2">
        <v>135.49</v>
      </c>
      <c r="G91" s="2">
        <v>-43.75</v>
      </c>
      <c r="H91" s="2">
        <v>-0.13</v>
      </c>
      <c r="I91" s="2">
        <v>11.17</v>
      </c>
      <c r="J91" s="2"/>
      <c r="K91" s="2"/>
      <c r="L91" s="2"/>
      <c r="M91" s="2"/>
      <c r="N91" s="2"/>
      <c r="O91" s="2"/>
      <c r="P91" s="9"/>
      <c r="Q91" s="2">
        <f>SUM(OSRRefD21_6_1x)+IFERROR(SUM(OSRRefE21_6_1x),0)</f>
        <v>-55.2</v>
      </c>
    </row>
    <row r="92" spans="1:17" s="35" customFormat="1" collapsed="1" x14ac:dyDescent="0.3">
      <c r="A92" s="34"/>
      <c r="B92" s="14" t="str">
        <f>CONCATENATE("     ","Donations                                         ")</f>
        <v xml:space="preserve">     Donations                                         </v>
      </c>
      <c r="C92" s="14"/>
      <c r="D92" s="1">
        <f>SUM(OSRRefD21_7x_0)</f>
        <v>0</v>
      </c>
      <c r="E92" s="1">
        <f>SUM(OSRRefD21_7x_1)</f>
        <v>0</v>
      </c>
      <c r="F92" s="1">
        <f>SUM(OSRRefD21_7x_2)</f>
        <v>0</v>
      </c>
      <c r="G92" s="1">
        <f>SUM(OSRRefD21_7x_3)</f>
        <v>1483.48</v>
      </c>
      <c r="H92" s="1">
        <f>SUM(OSRRefD21_7x_4)</f>
        <v>1336.74</v>
      </c>
      <c r="I92" s="1">
        <f>SUM(OSRRefD21_7x_5)</f>
        <v>0</v>
      </c>
      <c r="J92" s="1">
        <f>SUM(OSRRefE21_7x_0)</f>
        <v>1250</v>
      </c>
      <c r="K92" s="1">
        <f>SUM(OSRRefE21_7x_1)</f>
        <v>1250</v>
      </c>
      <c r="L92" s="1">
        <f>SUM(OSRRefE21_7x_2)</f>
        <v>1250</v>
      </c>
      <c r="M92" s="1">
        <f>SUM(OSRRefE21_7x_3)</f>
        <v>1250</v>
      </c>
      <c r="N92" s="1">
        <f>SUM(OSRRefE21_7x_4)</f>
        <v>1250</v>
      </c>
      <c r="O92" s="1">
        <f>SUM(OSRRefE21_7x_5)</f>
        <v>1250</v>
      </c>
      <c r="Q92" s="2">
        <f>SUM(OSRRefD20_7x)+IFERROR(SUM(OSRRefE20_7x),0)</f>
        <v>10320.220000000001</v>
      </c>
    </row>
    <row r="93" spans="1:17" s="35" customFormat="1" hidden="1" outlineLevel="1" x14ac:dyDescent="0.3">
      <c r="A93" s="34"/>
      <c r="B93" s="10" t="str">
        <f>CONCATENATE("          ","6399", " - ","DONATION-ON CAMPUS")</f>
        <v xml:space="preserve">          6399 - DONATION-ON CAMPUS</v>
      </c>
      <c r="C93" s="14"/>
      <c r="D93" s="2"/>
      <c r="E93" s="2"/>
      <c r="F93" s="2"/>
      <c r="G93" s="2">
        <v>1483.48</v>
      </c>
      <c r="H93" s="2">
        <v>1336.74</v>
      </c>
      <c r="I93" s="2"/>
      <c r="J93" s="2">
        <v>1250</v>
      </c>
      <c r="K93" s="2">
        <v>1250</v>
      </c>
      <c r="L93" s="2">
        <v>1250</v>
      </c>
      <c r="M93" s="2">
        <v>1250</v>
      </c>
      <c r="N93" s="2">
        <v>1250</v>
      </c>
      <c r="O93" s="2">
        <v>1250</v>
      </c>
      <c r="P93" s="9"/>
      <c r="Q93" s="2">
        <f>SUM(OSRRefD21_7_0x)+IFERROR(SUM(OSRRefE21_7_0x),0)</f>
        <v>10320.220000000001</v>
      </c>
    </row>
    <row r="94" spans="1:17" s="35" customFormat="1" collapsed="1" x14ac:dyDescent="0.3">
      <c r="A94" s="34"/>
      <c r="B94" s="14" t="str">
        <f>CONCATENATE("     ","Employees' Appreciation                           ")</f>
        <v xml:space="preserve">     Employees' Appreciation                           </v>
      </c>
      <c r="C94" s="14"/>
      <c r="D94" s="1">
        <f>SUM(OSRRefD21_8x_0)</f>
        <v>537.36</v>
      </c>
      <c r="E94" s="1">
        <f>SUM(OSRRefD21_8x_1)</f>
        <v>400</v>
      </c>
      <c r="F94" s="1">
        <f>SUM(OSRRefD21_8x_2)</f>
        <v>447.27</v>
      </c>
      <c r="G94" s="1">
        <f>SUM(OSRRefD21_8x_3)</f>
        <v>0</v>
      </c>
      <c r="H94" s="1">
        <f>SUM(OSRRefD21_8x_4)</f>
        <v>490.02</v>
      </c>
      <c r="I94" s="1">
        <f>SUM(OSRRefD21_8x_5)</f>
        <v>949.16</v>
      </c>
      <c r="J94" s="1">
        <f>SUM(OSRRefE21_8x_0)</f>
        <v>245</v>
      </c>
      <c r="K94" s="1">
        <f>SUM(OSRRefE21_8x_1)</f>
        <v>245</v>
      </c>
      <c r="L94" s="1">
        <f>SUM(OSRRefE21_8x_2)</f>
        <v>245</v>
      </c>
      <c r="M94" s="1">
        <f>SUM(OSRRefE21_8x_3)</f>
        <v>245</v>
      </c>
      <c r="N94" s="1">
        <f>SUM(OSRRefE21_8x_4)</f>
        <v>245</v>
      </c>
      <c r="O94" s="1">
        <f>SUM(OSRRefE21_8x_5)</f>
        <v>245</v>
      </c>
      <c r="Q94" s="2">
        <f>SUM(OSRRefD20_8x)+IFERROR(SUM(OSRRefE20_8x),0)</f>
        <v>4293.8099999999995</v>
      </c>
    </row>
    <row r="95" spans="1:17" s="35" customFormat="1" hidden="1" outlineLevel="1" x14ac:dyDescent="0.3">
      <c r="A95" s="34"/>
      <c r="B95" s="10" t="str">
        <f>CONCATENATE("          ","6277", " - ","EMPLOYEE APPRECIATION")</f>
        <v xml:space="preserve">          6277 - EMPLOYEE APPRECIATION</v>
      </c>
      <c r="C95" s="14"/>
      <c r="D95" s="2">
        <v>537.36</v>
      </c>
      <c r="E95" s="2">
        <v>400</v>
      </c>
      <c r="F95" s="2">
        <v>447.27</v>
      </c>
      <c r="G95" s="2"/>
      <c r="H95" s="2">
        <v>490.02</v>
      </c>
      <c r="I95" s="2">
        <v>949.16</v>
      </c>
      <c r="J95" s="2">
        <v>245</v>
      </c>
      <c r="K95" s="2">
        <v>245</v>
      </c>
      <c r="L95" s="2">
        <v>245</v>
      </c>
      <c r="M95" s="2">
        <v>245</v>
      </c>
      <c r="N95" s="2">
        <v>245</v>
      </c>
      <c r="O95" s="2">
        <v>245</v>
      </c>
      <c r="P95" s="9"/>
      <c r="Q95" s="2">
        <f>SUM(OSRRefD21_8_0x)+IFERROR(SUM(OSRRefE21_8_0x),0)</f>
        <v>4293.8099999999995</v>
      </c>
    </row>
    <row r="96" spans="1:17" s="35" customFormat="1" collapsed="1" x14ac:dyDescent="0.3">
      <c r="A96" s="34"/>
      <c r="B96" s="14" t="str">
        <f>CONCATENATE("     ","Equipment Rental                                  ")</f>
        <v xml:space="preserve">     Equipment Rental                                  </v>
      </c>
      <c r="C96" s="14"/>
      <c r="D96" s="1">
        <f>SUM(OSRRefD21_9x_0)</f>
        <v>1388.16</v>
      </c>
      <c r="E96" s="1">
        <f>SUM(OSRRefD21_9x_1)</f>
        <v>2303.73</v>
      </c>
      <c r="F96" s="1">
        <f>SUM(OSRRefD21_9x_2)</f>
        <v>1388.16</v>
      </c>
      <c r="G96" s="1">
        <f>SUM(OSRRefD21_9x_3)</f>
        <v>1531.35</v>
      </c>
      <c r="H96" s="1">
        <f>SUM(OSRRefD21_9x_4)</f>
        <v>1712.05</v>
      </c>
      <c r="I96" s="1">
        <f>SUM(OSRRefD21_9x_5)</f>
        <v>1507.07</v>
      </c>
      <c r="J96" s="1">
        <f>SUM(OSRRefE21_9x_0)</f>
        <v>1700</v>
      </c>
      <c r="K96" s="1">
        <f>SUM(OSRRefE21_9x_1)</f>
        <v>1700</v>
      </c>
      <c r="L96" s="1">
        <f>SUM(OSRRefE21_9x_2)</f>
        <v>1700</v>
      </c>
      <c r="M96" s="1">
        <f>SUM(OSRRefE21_9x_3)</f>
        <v>1700</v>
      </c>
      <c r="N96" s="1">
        <f>SUM(OSRRefE21_9x_4)</f>
        <v>1700</v>
      </c>
      <c r="O96" s="1">
        <f>SUM(OSRRefE21_9x_5)</f>
        <v>1700</v>
      </c>
      <c r="Q96" s="2">
        <f>SUM(OSRRefD20_9x)+IFERROR(SUM(OSRRefE20_9x),0)</f>
        <v>20030.519999999997</v>
      </c>
    </row>
    <row r="97" spans="1:17" s="35" customFormat="1" hidden="1" outlineLevel="1" x14ac:dyDescent="0.3">
      <c r="A97" s="34"/>
      <c r="B97" s="10" t="str">
        <f>CONCATENATE("          ","6351", " - ","EQUIPMENT RENTAL")</f>
        <v xml:space="preserve">          6351 - EQUIPMENT RENTAL</v>
      </c>
      <c r="C97" s="14"/>
      <c r="D97" s="2">
        <v>1388.16</v>
      </c>
      <c r="E97" s="2">
        <v>2303.73</v>
      </c>
      <c r="F97" s="2">
        <v>1388.16</v>
      </c>
      <c r="G97" s="2">
        <v>1531.35</v>
      </c>
      <c r="H97" s="2">
        <v>1712.05</v>
      </c>
      <c r="I97" s="2">
        <v>1507.07</v>
      </c>
      <c r="J97" s="2">
        <v>1700</v>
      </c>
      <c r="K97" s="2">
        <v>1700</v>
      </c>
      <c r="L97" s="2">
        <v>1700</v>
      </c>
      <c r="M97" s="2">
        <v>1700</v>
      </c>
      <c r="N97" s="2">
        <v>1700</v>
      </c>
      <c r="O97" s="2">
        <v>1700</v>
      </c>
      <c r="P97" s="9"/>
      <c r="Q97" s="2">
        <f>SUM(OSRRefD21_9_0x)+IFERROR(SUM(OSRRefE21_9_0x),0)</f>
        <v>20030.519999999997</v>
      </c>
    </row>
    <row r="98" spans="1:17" s="35" customFormat="1" collapsed="1" x14ac:dyDescent="0.3">
      <c r="A98" s="34"/>
      <c r="B98" s="14" t="str">
        <f>CONCATENATE("     ","Freight out/Postage                               ")</f>
        <v xml:space="preserve">     Freight out/Postage                               </v>
      </c>
      <c r="C98" s="14"/>
      <c r="D98" s="1">
        <f>SUM(OSRRefD21_10x_0)</f>
        <v>3682.8</v>
      </c>
      <c r="E98" s="1">
        <f>SUM(OSRRefD21_10x_1)</f>
        <v>-19372.54</v>
      </c>
      <c r="F98" s="1">
        <f>SUM(OSRRefD21_10x_2)</f>
        <v>3676.3099999999995</v>
      </c>
      <c r="G98" s="1">
        <f>SUM(OSRRefD21_10x_3)</f>
        <v>-23514.07</v>
      </c>
      <c r="H98" s="1">
        <f>SUM(OSRRefD21_10x_4)</f>
        <v>5663.4</v>
      </c>
      <c r="I98" s="1">
        <f>SUM(OSRRefD21_10x_5)</f>
        <v>-2180.9800000000014</v>
      </c>
      <c r="J98" s="1">
        <f>SUM(OSRRefE21_10x_0)</f>
        <v>-25535</v>
      </c>
      <c r="K98" s="1">
        <f>SUM(OSRRefE21_10x_1)</f>
        <v>1965</v>
      </c>
      <c r="L98" s="1">
        <f>SUM(OSRRefE21_10x_2)</f>
        <v>3365</v>
      </c>
      <c r="M98" s="1">
        <f>SUM(OSRRefE21_10x_3)</f>
        <v>-535</v>
      </c>
      <c r="N98" s="1">
        <f>SUM(OSRRefE21_10x_4)</f>
        <v>-1835</v>
      </c>
      <c r="O98" s="1">
        <f>SUM(OSRRefE21_10x_5)</f>
        <v>-2335</v>
      </c>
      <c r="Q98" s="2">
        <f>SUM(OSRRefD20_10x)+IFERROR(SUM(OSRRefE20_10x),0)</f>
        <v>-56955.08</v>
      </c>
    </row>
    <row r="99" spans="1:17" s="35" customFormat="1" hidden="1" outlineLevel="1" x14ac:dyDescent="0.3">
      <c r="A99" s="34"/>
      <c r="B99" s="10" t="str">
        <f>CONCATENATE("          ","6305", " - ","FREIGHT OUT")</f>
        <v xml:space="preserve">          6305 - FREIGHT OUT</v>
      </c>
      <c r="C99" s="14"/>
      <c r="D99" s="2">
        <v>10982.69</v>
      </c>
      <c r="E99" s="2">
        <v>4399.6499999999996</v>
      </c>
      <c r="F99" s="2">
        <v>13313.84</v>
      </c>
      <c r="G99" s="2">
        <v>26190.5</v>
      </c>
      <c r="H99" s="2">
        <v>11064.07</v>
      </c>
      <c r="I99" s="2">
        <v>12270.64</v>
      </c>
      <c r="J99" s="2">
        <v>15865</v>
      </c>
      <c r="K99" s="2">
        <v>23865</v>
      </c>
      <c r="L99" s="2">
        <v>9265</v>
      </c>
      <c r="M99" s="2">
        <v>3865</v>
      </c>
      <c r="N99" s="2">
        <v>2565</v>
      </c>
      <c r="O99" s="2">
        <v>2065</v>
      </c>
      <c r="P99" s="9"/>
      <c r="Q99" s="2">
        <f>SUM(OSRRefD21_10_0x)+IFERROR(SUM(OSRRefE21_10_0x),0)</f>
        <v>135711.39000000001</v>
      </c>
    </row>
    <row r="100" spans="1:17" s="35" customFormat="1" hidden="1" outlineLevel="1" x14ac:dyDescent="0.3">
      <c r="A100" s="34"/>
      <c r="B100" s="10" t="str">
        <f>CONCATENATE("          ","6307", " - ","POSTAGE")</f>
        <v xml:space="preserve">          6307 - POSTAGE</v>
      </c>
      <c r="C100" s="14"/>
      <c r="D100" s="2">
        <v>-7299.89</v>
      </c>
      <c r="E100" s="2">
        <v>-23772.19</v>
      </c>
      <c r="F100" s="2">
        <v>-9637.5300000000007</v>
      </c>
      <c r="G100" s="2">
        <v>-49704.57</v>
      </c>
      <c r="H100" s="2">
        <v>-5400.67</v>
      </c>
      <c r="I100" s="2">
        <v>-14451.62</v>
      </c>
      <c r="J100" s="2">
        <v>-41400</v>
      </c>
      <c r="K100" s="2">
        <v>-21900</v>
      </c>
      <c r="L100" s="2">
        <v>-5900</v>
      </c>
      <c r="M100" s="2">
        <v>-4400</v>
      </c>
      <c r="N100" s="2">
        <v>-4400</v>
      </c>
      <c r="O100" s="2">
        <v>-4400</v>
      </c>
      <c r="P100" s="9"/>
      <c r="Q100" s="2">
        <f>SUM(OSRRefD21_10_1x)+IFERROR(SUM(OSRRefE21_10_1x),0)</f>
        <v>-192666.46999999997</v>
      </c>
    </row>
    <row r="101" spans="1:17" s="35" customFormat="1" collapsed="1" x14ac:dyDescent="0.3">
      <c r="A101" s="34"/>
      <c r="B101" s="14" t="str">
        <f>CONCATENATE("     ","General                                           ")</f>
        <v xml:space="preserve">     General                                           </v>
      </c>
      <c r="C101" s="14"/>
      <c r="D101" s="1">
        <f>SUM(OSRRefD21_11x_0)</f>
        <v>778</v>
      </c>
      <c r="E101" s="1">
        <f>SUM(OSRRefD21_11x_1)</f>
        <v>997.29</v>
      </c>
      <c r="F101" s="1">
        <f>SUM(OSRRefD21_11x_2)</f>
        <v>91.31</v>
      </c>
      <c r="G101" s="1">
        <f>SUM(OSRRefD21_11x_3)</f>
        <v>327.5</v>
      </c>
      <c r="H101" s="1">
        <f>SUM(OSRRefD21_11x_4)</f>
        <v>1135.0899999999999</v>
      </c>
      <c r="I101" s="1">
        <f>SUM(OSRRefD21_11x_5)</f>
        <v>1002</v>
      </c>
      <c r="J101" s="1">
        <f>SUM(OSRRefE21_11x_0)</f>
        <v>230</v>
      </c>
      <c r="K101" s="1">
        <f>SUM(OSRRefE21_11x_1)</f>
        <v>355</v>
      </c>
      <c r="L101" s="1">
        <f>SUM(OSRRefE21_11x_2)</f>
        <v>230</v>
      </c>
      <c r="M101" s="1">
        <f>SUM(OSRRefE21_11x_3)</f>
        <v>730</v>
      </c>
      <c r="N101" s="1">
        <f>SUM(OSRRefE21_11x_4)</f>
        <v>980</v>
      </c>
      <c r="O101" s="1">
        <f>SUM(OSRRefE21_11x_5)</f>
        <v>1230</v>
      </c>
      <c r="Q101" s="2">
        <f>SUM(OSRRefD20_11x)+IFERROR(SUM(OSRRefE20_11x),0)</f>
        <v>8086.19</v>
      </c>
    </row>
    <row r="102" spans="1:17" s="35" customFormat="1" hidden="1" outlineLevel="1" x14ac:dyDescent="0.3">
      <c r="A102" s="34"/>
      <c r="B102" s="10" t="str">
        <f>CONCATENATE("          ","6279", " - ","GENERAL EXPENSE")</f>
        <v xml:space="preserve">          6279 - GENERAL EXPENSE</v>
      </c>
      <c r="C102" s="14"/>
      <c r="D102" s="2">
        <v>778</v>
      </c>
      <c r="E102" s="2">
        <v>997.29</v>
      </c>
      <c r="F102" s="2">
        <v>91.31</v>
      </c>
      <c r="G102" s="2">
        <v>327.5</v>
      </c>
      <c r="H102" s="2">
        <v>1135.0899999999999</v>
      </c>
      <c r="I102" s="2">
        <v>1002</v>
      </c>
      <c r="J102" s="2">
        <v>230</v>
      </c>
      <c r="K102" s="2">
        <v>355</v>
      </c>
      <c r="L102" s="2">
        <v>230</v>
      </c>
      <c r="M102" s="2">
        <v>730</v>
      </c>
      <c r="N102" s="2">
        <v>980</v>
      </c>
      <c r="O102" s="2">
        <v>1230</v>
      </c>
      <c r="P102" s="9"/>
      <c r="Q102" s="2">
        <f>SUM(OSRRefD21_11_0x)+IFERROR(SUM(OSRRefE21_11_0x),0)</f>
        <v>8086.19</v>
      </c>
    </row>
    <row r="103" spans="1:17" s="35" customFormat="1" collapsed="1" x14ac:dyDescent="0.3">
      <c r="A103" s="34"/>
      <c r="B103" s="14" t="str">
        <f>CONCATENATE("     ","Insurance                                         ")</f>
        <v xml:space="preserve">     Insurance                                         </v>
      </c>
      <c r="C103" s="14"/>
      <c r="D103" s="1">
        <f>SUM(OSRRefD21_12x_0)</f>
        <v>5494.57</v>
      </c>
      <c r="E103" s="1">
        <f>SUM(OSRRefD21_12x_1)</f>
        <v>5494.57</v>
      </c>
      <c r="F103" s="1">
        <f>SUM(OSRRefD21_12x_2)</f>
        <v>5494.57</v>
      </c>
      <c r="G103" s="1">
        <f>SUM(OSRRefD21_12x_3)</f>
        <v>5494.57</v>
      </c>
      <c r="H103" s="1">
        <f>SUM(OSRRefD21_12x_4)</f>
        <v>5494.57</v>
      </c>
      <c r="I103" s="1">
        <f>SUM(OSRRefD21_12x_5)</f>
        <v>5494.57</v>
      </c>
      <c r="J103" s="1">
        <f>SUM(OSRRefE21_12x_0)</f>
        <v>5375</v>
      </c>
      <c r="K103" s="1">
        <f>SUM(OSRRefE21_12x_1)</f>
        <v>5375</v>
      </c>
      <c r="L103" s="1">
        <f>SUM(OSRRefE21_12x_2)</f>
        <v>5375</v>
      </c>
      <c r="M103" s="1">
        <f>SUM(OSRRefE21_12x_3)</f>
        <v>5375</v>
      </c>
      <c r="N103" s="1">
        <f>SUM(OSRRefE21_12x_4)</f>
        <v>5375</v>
      </c>
      <c r="O103" s="1">
        <f>SUM(OSRRefE21_12x_5)</f>
        <v>5375</v>
      </c>
      <c r="Q103" s="2">
        <f>SUM(OSRRefD20_12x)+IFERROR(SUM(OSRRefE20_12x),0)</f>
        <v>65217.42</v>
      </c>
    </row>
    <row r="104" spans="1:17" s="35" customFormat="1" hidden="1" outlineLevel="1" x14ac:dyDescent="0.3">
      <c r="A104" s="34"/>
      <c r="B104" s="10" t="str">
        <f>CONCATENATE("          ","6314", " - ","LIABILITY INSURANCE")</f>
        <v xml:space="preserve">          6314 - LIABILITY INSURANCE</v>
      </c>
      <c r="C104" s="14"/>
      <c r="D104" s="2">
        <v>5494.57</v>
      </c>
      <c r="E104" s="2">
        <v>5494.57</v>
      </c>
      <c r="F104" s="2">
        <v>5494.57</v>
      </c>
      <c r="G104" s="2">
        <v>5494.57</v>
      </c>
      <c r="H104" s="2">
        <v>5494.57</v>
      </c>
      <c r="I104" s="2">
        <v>5494.57</v>
      </c>
      <c r="J104" s="2">
        <v>5375</v>
      </c>
      <c r="K104" s="2">
        <v>5375</v>
      </c>
      <c r="L104" s="2">
        <v>5375</v>
      </c>
      <c r="M104" s="2">
        <v>5375</v>
      </c>
      <c r="N104" s="2">
        <v>5375</v>
      </c>
      <c r="O104" s="2">
        <v>5375</v>
      </c>
      <c r="P104" s="9"/>
      <c r="Q104" s="2">
        <f>SUM(OSRRefD21_12_0x)+IFERROR(SUM(OSRRefE21_12_0x),0)</f>
        <v>65217.42</v>
      </c>
    </row>
    <row r="105" spans="1:17" s="35" customFormat="1" collapsed="1" x14ac:dyDescent="0.3">
      <c r="A105" s="34"/>
      <c r="B105" s="14" t="str">
        <f>CONCATENATE("     ","Inventory Adjustment                              ")</f>
        <v xml:space="preserve">     Inventory Adjustment                              </v>
      </c>
      <c r="C105" s="14"/>
      <c r="D105" s="1">
        <f>SUM(OSRRefD21_13x_0)</f>
        <v>6570</v>
      </c>
      <c r="E105" s="1">
        <f>SUM(OSRRefD21_13x_1)</f>
        <v>7120</v>
      </c>
      <c r="F105" s="1">
        <f>SUM(OSRRefD21_13x_2)</f>
        <v>5690</v>
      </c>
      <c r="G105" s="1">
        <f>SUM(OSRRefD21_13x_3)</f>
        <v>5690</v>
      </c>
      <c r="H105" s="1">
        <f>SUM(OSRRefD21_13x_4)</f>
        <v>5730</v>
      </c>
      <c r="I105" s="1">
        <f>SUM(OSRRefD21_13x_5)</f>
        <v>9440</v>
      </c>
      <c r="J105" s="1">
        <f>SUM(OSRRefE21_13x_0)</f>
        <v>6070</v>
      </c>
      <c r="K105" s="1">
        <f>SUM(OSRRefE21_13x_1)</f>
        <v>5690</v>
      </c>
      <c r="L105" s="1">
        <f>SUM(OSRRefE21_13x_2)</f>
        <v>5440</v>
      </c>
      <c r="M105" s="1">
        <f>SUM(OSRRefE21_13x_3)</f>
        <v>6200</v>
      </c>
      <c r="N105" s="1">
        <f>SUM(OSRRefE21_13x_4)</f>
        <v>7200</v>
      </c>
      <c r="O105" s="1">
        <f>SUM(OSRRefE21_13x_5)</f>
        <v>19650</v>
      </c>
      <c r="Q105" s="2">
        <f>SUM(OSRRefD20_13x)+IFERROR(SUM(OSRRefE20_13x),0)</f>
        <v>90490</v>
      </c>
    </row>
    <row r="106" spans="1:17" s="35" customFormat="1" hidden="1" outlineLevel="1" x14ac:dyDescent="0.3">
      <c r="A106" s="34"/>
      <c r="B106" s="10" t="str">
        <f>CONCATENATE("          ","6408", " - ","INVENTORY ADJUSTMENT")</f>
        <v xml:space="preserve">          6408 - INVENTORY ADJUSTMENT</v>
      </c>
      <c r="C106" s="14"/>
      <c r="D106" s="2">
        <v>6570</v>
      </c>
      <c r="E106" s="2">
        <v>7120</v>
      </c>
      <c r="F106" s="2">
        <v>5690</v>
      </c>
      <c r="G106" s="2">
        <v>5690</v>
      </c>
      <c r="H106" s="2">
        <v>5730</v>
      </c>
      <c r="I106" s="2">
        <v>9440</v>
      </c>
      <c r="J106" s="2">
        <v>6070</v>
      </c>
      <c r="K106" s="2">
        <v>5690</v>
      </c>
      <c r="L106" s="2">
        <v>5440</v>
      </c>
      <c r="M106" s="2">
        <v>6200</v>
      </c>
      <c r="N106" s="2">
        <v>7200</v>
      </c>
      <c r="O106" s="2">
        <v>19650</v>
      </c>
      <c r="P106" s="9"/>
      <c r="Q106" s="2">
        <f>SUM(OSRRefD21_13_0x)+IFERROR(SUM(OSRRefE21_13_0x),0)</f>
        <v>90490</v>
      </c>
    </row>
    <row r="107" spans="1:17" s="35" customFormat="1" collapsed="1" x14ac:dyDescent="0.3">
      <c r="A107" s="34"/>
      <c r="B107" s="14" t="str">
        <f>CONCATENATE("     ","Professional Services                             ")</f>
        <v xml:space="preserve">     Professional Services                             </v>
      </c>
      <c r="C107" s="14"/>
      <c r="D107" s="1">
        <f>SUM(OSRRefD21_14x_0)</f>
        <v>0</v>
      </c>
      <c r="E107" s="1">
        <f>SUM(OSRRefD21_14x_1)</f>
        <v>0</v>
      </c>
      <c r="F107" s="1">
        <f>SUM(OSRRefD21_14x_2)</f>
        <v>0</v>
      </c>
      <c r="G107" s="1">
        <f>SUM(OSRRefD21_14x_3)</f>
        <v>8186.53</v>
      </c>
      <c r="H107" s="1">
        <f>SUM(OSRRefD21_14x_4)</f>
        <v>0</v>
      </c>
      <c r="I107" s="1">
        <f>SUM(OSRRefD21_14x_5)</f>
        <v>0</v>
      </c>
      <c r="J107" s="1">
        <f>SUM(OSRRefE21_14x_0)</f>
        <v>250</v>
      </c>
      <c r="K107" s="1">
        <f>SUM(OSRRefE21_14x_1)</f>
        <v>0</v>
      </c>
      <c r="L107" s="1">
        <f>SUM(OSRRefE21_14x_2)</f>
        <v>0</v>
      </c>
      <c r="M107" s="1">
        <f>SUM(OSRRefE21_14x_3)</f>
        <v>250</v>
      </c>
      <c r="N107" s="1">
        <f>SUM(OSRRefE21_14x_4)</f>
        <v>0</v>
      </c>
      <c r="O107" s="1">
        <f>SUM(OSRRefE21_14x_5)</f>
        <v>0</v>
      </c>
      <c r="Q107" s="2">
        <f>SUM(OSRRefD20_14x)+IFERROR(SUM(OSRRefE20_14x),0)</f>
        <v>8686.5299999999988</v>
      </c>
    </row>
    <row r="108" spans="1:17" s="35" customFormat="1" hidden="1" outlineLevel="1" x14ac:dyDescent="0.3">
      <c r="A108" s="34"/>
      <c r="B108" s="10" t="str">
        <f>CONCATENATE("          ","6336", " - ","PROFESSIONAL SERVICES")</f>
        <v xml:space="preserve">          6336 - PROFESSIONAL SERVICES</v>
      </c>
      <c r="C108" s="14"/>
      <c r="D108" s="2"/>
      <c r="E108" s="2"/>
      <c r="F108" s="2"/>
      <c r="G108" s="2">
        <v>8186.53</v>
      </c>
      <c r="H108" s="2"/>
      <c r="I108" s="2"/>
      <c r="J108" s="2">
        <v>250</v>
      </c>
      <c r="K108" s="2">
        <v>0</v>
      </c>
      <c r="L108" s="2">
        <v>0</v>
      </c>
      <c r="M108" s="2">
        <v>250</v>
      </c>
      <c r="N108" s="2">
        <v>0</v>
      </c>
      <c r="O108" s="2">
        <v>0</v>
      </c>
      <c r="P108" s="9"/>
      <c r="Q108" s="2">
        <f>SUM(OSRRefD21_14_0x)+IFERROR(SUM(OSRRefE21_14_0x),0)</f>
        <v>8686.5299999999988</v>
      </c>
    </row>
    <row r="109" spans="1:17" s="35" customFormat="1" collapsed="1" x14ac:dyDescent="0.3">
      <c r="A109" s="34"/>
      <c r="B109" s="14" t="str">
        <f>CONCATENATE("     ","Rent                                              ")</f>
        <v xml:space="preserve">     Rent                                              </v>
      </c>
      <c r="C109" s="14"/>
      <c r="D109" s="1">
        <f>SUM(OSRRefD21_15x_0)</f>
        <v>6100</v>
      </c>
      <c r="E109" s="1">
        <f>SUM(OSRRefD21_15x_1)</f>
        <v>6100</v>
      </c>
      <c r="F109" s="1">
        <f>SUM(OSRRefD21_15x_2)</f>
        <v>6100</v>
      </c>
      <c r="G109" s="1">
        <f>SUM(OSRRefD21_15x_3)</f>
        <v>6100</v>
      </c>
      <c r="H109" s="1">
        <f>SUM(OSRRefD21_15x_4)</f>
        <v>6100</v>
      </c>
      <c r="I109" s="1">
        <f>SUM(OSRRefD21_15x_5)</f>
        <v>6100</v>
      </c>
      <c r="J109" s="1">
        <f>SUM(OSRRefE21_15x_0)</f>
        <v>6100</v>
      </c>
      <c r="K109" s="1">
        <f>SUM(OSRRefE21_15x_1)</f>
        <v>6100</v>
      </c>
      <c r="L109" s="1">
        <f>SUM(OSRRefE21_15x_2)</f>
        <v>6100</v>
      </c>
      <c r="M109" s="1">
        <f>SUM(OSRRefE21_15x_3)</f>
        <v>6100</v>
      </c>
      <c r="N109" s="1">
        <f>SUM(OSRRefE21_15x_4)</f>
        <v>6100</v>
      </c>
      <c r="O109" s="1">
        <f>SUM(OSRRefE21_15x_5)</f>
        <v>6100</v>
      </c>
      <c r="Q109" s="2">
        <f>SUM(OSRRefD20_15x)+IFERROR(SUM(OSRRefE20_15x),0)</f>
        <v>73200</v>
      </c>
    </row>
    <row r="110" spans="1:17" s="35" customFormat="1" hidden="1" outlineLevel="1" x14ac:dyDescent="0.3">
      <c r="A110" s="34"/>
      <c r="B110" s="10" t="str">
        <f>CONCATENATE("          ","6273", " - ","RENT")</f>
        <v xml:space="preserve">          6273 - RENT</v>
      </c>
      <c r="C110" s="14"/>
      <c r="D110" s="2">
        <v>6100</v>
      </c>
      <c r="E110" s="2">
        <v>6100</v>
      </c>
      <c r="F110" s="2">
        <v>6100</v>
      </c>
      <c r="G110" s="2">
        <v>6100</v>
      </c>
      <c r="H110" s="2">
        <v>6100</v>
      </c>
      <c r="I110" s="2">
        <v>6100</v>
      </c>
      <c r="J110" s="2">
        <v>6100</v>
      </c>
      <c r="K110" s="2">
        <v>6100</v>
      </c>
      <c r="L110" s="2">
        <v>6100</v>
      </c>
      <c r="M110" s="2">
        <v>6100</v>
      </c>
      <c r="N110" s="2">
        <v>6100</v>
      </c>
      <c r="O110" s="2">
        <v>6100</v>
      </c>
      <c r="P110" s="9"/>
      <c r="Q110" s="2">
        <f>SUM(OSRRefD21_15_0x)+IFERROR(SUM(OSRRefE21_15_0x),0)</f>
        <v>73200</v>
      </c>
    </row>
    <row r="111" spans="1:17" s="35" customFormat="1" collapsed="1" x14ac:dyDescent="0.3">
      <c r="A111" s="34"/>
      <c r="B111" s="14" t="str">
        <f>CONCATENATE("     ","Repair and Maintenance                            ")</f>
        <v xml:space="preserve">     Repair and Maintenance                            </v>
      </c>
      <c r="C111" s="14"/>
      <c r="D111" s="1">
        <f>SUM(OSRRefD21_16x_0)</f>
        <v>64762.729999999996</v>
      </c>
      <c r="E111" s="1">
        <f>SUM(OSRRefD21_16x_1)</f>
        <v>8064.33</v>
      </c>
      <c r="F111" s="1">
        <f>SUM(OSRRefD21_16x_2)</f>
        <v>4189.5</v>
      </c>
      <c r="G111" s="1">
        <f>SUM(OSRRefD21_16x_3)</f>
        <v>12440.880000000001</v>
      </c>
      <c r="H111" s="1">
        <f>SUM(OSRRefD21_16x_4)</f>
        <v>1338.03</v>
      </c>
      <c r="I111" s="1">
        <f>SUM(OSRRefD21_16x_5)</f>
        <v>7012.15</v>
      </c>
      <c r="J111" s="1">
        <f>SUM(OSRRefE21_16x_0)</f>
        <v>11245</v>
      </c>
      <c r="K111" s="1">
        <f>SUM(OSRRefE21_16x_1)</f>
        <v>30945</v>
      </c>
      <c r="L111" s="1">
        <f>SUM(OSRRefE21_16x_2)</f>
        <v>10745</v>
      </c>
      <c r="M111" s="1">
        <f>SUM(OSRRefE21_16x_3)</f>
        <v>10745</v>
      </c>
      <c r="N111" s="1">
        <f>SUM(OSRRefE21_16x_4)</f>
        <v>10645</v>
      </c>
      <c r="O111" s="1">
        <f>SUM(OSRRefE21_16x_5)</f>
        <v>10745</v>
      </c>
      <c r="Q111" s="2">
        <f>SUM(OSRRefD20_16x)+IFERROR(SUM(OSRRefE20_16x),0)</f>
        <v>182877.62</v>
      </c>
    </row>
    <row r="112" spans="1:17" s="35" customFormat="1" hidden="1" outlineLevel="1" x14ac:dyDescent="0.3">
      <c r="A112" s="34"/>
      <c r="B112" s="10" t="str">
        <f>CONCATENATE("          ","6371", " - ","COMPUTER SOFTWARE MAINTENANCE")</f>
        <v xml:space="preserve">          6371 - COMPUTER SOFTWARE MAINTENANCE</v>
      </c>
      <c r="C112" s="14"/>
      <c r="D112" s="2">
        <v>59623.5</v>
      </c>
      <c r="E112" s="2">
        <v>0</v>
      </c>
      <c r="F112" s="2"/>
      <c r="G112" s="2">
        <v>2887.5</v>
      </c>
      <c r="H112" s="2"/>
      <c r="I112" s="2"/>
      <c r="J112" s="2">
        <v>1000</v>
      </c>
      <c r="K112" s="2">
        <v>1000</v>
      </c>
      <c r="L112" s="2">
        <v>1000</v>
      </c>
      <c r="M112" s="2">
        <v>1000</v>
      </c>
      <c r="N112" s="2">
        <v>1000</v>
      </c>
      <c r="O112" s="2">
        <v>1000</v>
      </c>
      <c r="P112" s="9"/>
      <c r="Q112" s="2">
        <f>SUM(OSRRefD21_16_0x)+IFERROR(SUM(OSRRefE21_16_0x),0)</f>
        <v>68511</v>
      </c>
    </row>
    <row r="113" spans="1:17" s="35" customFormat="1" hidden="1" outlineLevel="1" x14ac:dyDescent="0.3">
      <c r="A113" s="34"/>
      <c r="B113" s="10" t="str">
        <f>CONCATENATE("          ","6372", " - ","COMPUTER HARDWARE MAINTENANCE")</f>
        <v xml:space="preserve">          6372 - COMPUTER HARDWARE MAINTENANCE</v>
      </c>
      <c r="C113" s="14"/>
      <c r="D113" s="2"/>
      <c r="E113" s="2"/>
      <c r="F113" s="2"/>
      <c r="G113" s="2"/>
      <c r="H113" s="2"/>
      <c r="I113" s="2"/>
      <c r="J113" s="2">
        <v>3750</v>
      </c>
      <c r="K113" s="2">
        <v>3750</v>
      </c>
      <c r="L113" s="2">
        <v>3750</v>
      </c>
      <c r="M113" s="2">
        <v>3750</v>
      </c>
      <c r="N113" s="2">
        <v>3750</v>
      </c>
      <c r="O113" s="2">
        <v>3750</v>
      </c>
      <c r="P113" s="9"/>
      <c r="Q113" s="2">
        <f>SUM(OSRRefD21_16_1x)+IFERROR(SUM(OSRRefE21_16_1x),0)</f>
        <v>22500</v>
      </c>
    </row>
    <row r="114" spans="1:17" s="35" customFormat="1" hidden="1" outlineLevel="1" x14ac:dyDescent="0.3">
      <c r="A114" s="34"/>
      <c r="B114" s="10" t="str">
        <f>CONCATENATE("          ","6373", " - ","MAINTENANCE CONTRACTS")</f>
        <v xml:space="preserve">          6373 - MAINTENANCE CONTRACTS</v>
      </c>
      <c r="C114" s="14"/>
      <c r="D114" s="2">
        <v>654.63</v>
      </c>
      <c r="E114" s="2">
        <v>6010.42</v>
      </c>
      <c r="F114" s="2">
        <v>1366.9</v>
      </c>
      <c r="G114" s="2">
        <v>4034.78</v>
      </c>
      <c r="H114" s="2">
        <v>179.27</v>
      </c>
      <c r="I114" s="2">
        <v>2237.17</v>
      </c>
      <c r="J114" s="2">
        <v>5955</v>
      </c>
      <c r="K114" s="2">
        <v>26155</v>
      </c>
      <c r="L114" s="2">
        <v>5955</v>
      </c>
      <c r="M114" s="2">
        <v>5955</v>
      </c>
      <c r="N114" s="2">
        <v>5855</v>
      </c>
      <c r="O114" s="2">
        <v>5955</v>
      </c>
      <c r="P114" s="9"/>
      <c r="Q114" s="2">
        <f>SUM(OSRRefD21_16_2x)+IFERROR(SUM(OSRRefE21_16_2x),0)</f>
        <v>70313.17</v>
      </c>
    </row>
    <row r="115" spans="1:17" s="35" customFormat="1" hidden="1" outlineLevel="1" x14ac:dyDescent="0.3">
      <c r="A115" s="34"/>
      <c r="B115" s="10" t="str">
        <f>CONCATENATE("          ","6375", " - ","OUTSIDE REPAIRS &amp; MAINTENANCE")</f>
        <v xml:space="preserve">          6375 - OUTSIDE REPAIRS &amp; MAINTENANCE</v>
      </c>
      <c r="C115" s="14"/>
      <c r="D115" s="2">
        <v>4484.6000000000004</v>
      </c>
      <c r="E115" s="2">
        <v>2053.91</v>
      </c>
      <c r="F115" s="2">
        <v>2822.6</v>
      </c>
      <c r="G115" s="2">
        <v>5518.6</v>
      </c>
      <c r="H115" s="2">
        <v>1158.76</v>
      </c>
      <c r="I115" s="2">
        <v>4774.9799999999996</v>
      </c>
      <c r="J115" s="2">
        <v>540</v>
      </c>
      <c r="K115" s="2">
        <v>40</v>
      </c>
      <c r="L115" s="2">
        <v>40</v>
      </c>
      <c r="M115" s="2">
        <v>40</v>
      </c>
      <c r="N115" s="2">
        <v>40</v>
      </c>
      <c r="O115" s="2">
        <v>40</v>
      </c>
      <c r="P115" s="9"/>
      <c r="Q115" s="2">
        <f>SUM(OSRRefD21_16_3x)+IFERROR(SUM(OSRRefE21_16_3x),0)</f>
        <v>21553.45</v>
      </c>
    </row>
    <row r="116" spans="1:17" s="35" customFormat="1" collapsed="1" x14ac:dyDescent="0.3">
      <c r="A116" s="34"/>
      <c r="B116" s="14" t="str">
        <f>CONCATENATE("     ","Royalty &amp; Commissions                             ")</f>
        <v xml:space="preserve">     Royalty &amp; Commissions                             </v>
      </c>
      <c r="C116" s="14"/>
      <c r="D116" s="1">
        <f>SUM(OSRRefD21_17x_0)</f>
        <v>7355.1000000000013</v>
      </c>
      <c r="E116" s="1">
        <f>SUM(OSRRefD21_17x_1)</f>
        <v>601.89</v>
      </c>
      <c r="F116" s="1">
        <f>SUM(OSRRefD21_17x_2)</f>
        <v>1174.22</v>
      </c>
      <c r="G116" s="1">
        <f>SUM(OSRRefD21_17x_3)</f>
        <v>10709.72</v>
      </c>
      <c r="H116" s="1">
        <f>SUM(OSRRefD21_17x_4)</f>
        <v>784.77</v>
      </c>
      <c r="I116" s="1">
        <f>SUM(OSRRefD21_17x_5)</f>
        <v>1121.23</v>
      </c>
      <c r="J116" s="1">
        <f>SUM(OSRRefE21_17x_0)</f>
        <v>19106</v>
      </c>
      <c r="K116" s="1">
        <f>SUM(OSRRefE21_17x_1)</f>
        <v>5446</v>
      </c>
      <c r="L116" s="1">
        <f>SUM(OSRRefE21_17x_2)</f>
        <v>2685</v>
      </c>
      <c r="M116" s="1">
        <f>SUM(OSRRefE21_17x_3)</f>
        <v>17203</v>
      </c>
      <c r="N116" s="1">
        <f>SUM(OSRRefE21_17x_4)</f>
        <v>9656</v>
      </c>
      <c r="O116" s="1">
        <f>SUM(OSRRefE21_17x_5)</f>
        <v>9822</v>
      </c>
      <c r="Q116" s="2">
        <f>SUM(OSRRefD20_17x)+IFERROR(SUM(OSRRefE20_17x),0)</f>
        <v>85664.93</v>
      </c>
    </row>
    <row r="117" spans="1:17" s="35" customFormat="1" hidden="1" outlineLevel="1" x14ac:dyDescent="0.3">
      <c r="A117" s="34"/>
      <c r="B117" s="10" t="str">
        <f>CONCATENATE("          ","6252", " - ","ROYALTY DUE CSTV")</f>
        <v xml:space="preserve">          6252 - ROYALTY DUE CSTV</v>
      </c>
      <c r="C117" s="14"/>
      <c r="D117" s="2"/>
      <c r="E117" s="2"/>
      <c r="F117" s="2"/>
      <c r="G117" s="2"/>
      <c r="H117" s="2"/>
      <c r="I117" s="2"/>
      <c r="J117" s="2">
        <v>821</v>
      </c>
      <c r="K117" s="2">
        <v>446</v>
      </c>
      <c r="L117" s="2">
        <v>1085</v>
      </c>
      <c r="M117" s="2">
        <v>948</v>
      </c>
      <c r="N117" s="2">
        <v>2156</v>
      </c>
      <c r="O117" s="2">
        <v>3322</v>
      </c>
      <c r="P117" s="9"/>
      <c r="Q117" s="2">
        <f>SUM(OSRRefD21_17_0x)+IFERROR(SUM(OSRRefE21_17_0x),0)</f>
        <v>8778</v>
      </c>
    </row>
    <row r="118" spans="1:17" s="35" customFormat="1" hidden="1" outlineLevel="1" x14ac:dyDescent="0.3">
      <c r="A118" s="34"/>
      <c r="B118" s="10" t="str">
        <f>CONCATENATE("          ","6253", " - ","ROYALTY DUE ATHLETICS-LRG")</f>
        <v xml:space="preserve">          6253 - ROYALTY DUE ATHLETICS-LRG</v>
      </c>
      <c r="C118" s="14"/>
      <c r="D118" s="2">
        <v>14376.54</v>
      </c>
      <c r="E118" s="2"/>
      <c r="F118" s="2"/>
      <c r="G118" s="2">
        <v>8783.75</v>
      </c>
      <c r="H118" s="2"/>
      <c r="I118" s="2"/>
      <c r="J118" s="2">
        <v>7785</v>
      </c>
      <c r="K118" s="2">
        <v>0</v>
      </c>
      <c r="L118" s="2">
        <v>0</v>
      </c>
      <c r="M118" s="2">
        <v>14555</v>
      </c>
      <c r="N118" s="2">
        <v>0</v>
      </c>
      <c r="O118" s="2">
        <v>0</v>
      </c>
      <c r="P118" s="9"/>
      <c r="Q118" s="2">
        <f>SUM(OSRRefD21_17_1x)+IFERROR(SUM(OSRRefE21_17_1x),0)</f>
        <v>45500.29</v>
      </c>
    </row>
    <row r="119" spans="1:17" s="35" customFormat="1" hidden="1" outlineLevel="1" x14ac:dyDescent="0.3">
      <c r="A119" s="34"/>
      <c r="B119" s="10" t="str">
        <f>CONCATENATE("          ","6254", " - ","ROYALTY &amp; COMMISSIONS")</f>
        <v xml:space="preserve">          6254 - ROYALTY &amp; COMMISSIONS</v>
      </c>
      <c r="C119" s="14"/>
      <c r="D119" s="2">
        <v>-7027.5</v>
      </c>
      <c r="E119" s="2"/>
      <c r="F119" s="2"/>
      <c r="G119" s="2"/>
      <c r="H119" s="2"/>
      <c r="I119" s="2">
        <v>0</v>
      </c>
      <c r="J119" s="2">
        <v>500</v>
      </c>
      <c r="K119" s="2">
        <v>1000</v>
      </c>
      <c r="L119" s="2">
        <v>1000</v>
      </c>
      <c r="M119" s="2">
        <v>1000</v>
      </c>
      <c r="N119" s="2">
        <v>1000</v>
      </c>
      <c r="O119" s="2">
        <v>0</v>
      </c>
      <c r="P119" s="9"/>
      <c r="Q119" s="2">
        <f>SUM(OSRRefD21_17_2x)+IFERROR(SUM(OSRRefE21_17_2x),0)</f>
        <v>-2527.5</v>
      </c>
    </row>
    <row r="120" spans="1:17" s="35" customFormat="1" hidden="1" outlineLevel="1" x14ac:dyDescent="0.3">
      <c r="A120" s="34"/>
      <c r="B120" s="10" t="str">
        <f>CONCATENATE("          ","6259", " - ","ROYALTY &amp; COMMISSIONS")</f>
        <v xml:space="preserve">          6259 - ROYALTY &amp; COMMISSIONS</v>
      </c>
      <c r="C120" s="14"/>
      <c r="D120" s="2">
        <v>6.06</v>
      </c>
      <c r="E120" s="2">
        <v>601.89</v>
      </c>
      <c r="F120" s="2">
        <v>1174.22</v>
      </c>
      <c r="G120" s="2">
        <v>1925.97</v>
      </c>
      <c r="H120" s="2">
        <v>784.77</v>
      </c>
      <c r="I120" s="2">
        <v>1121.23</v>
      </c>
      <c r="J120" s="2">
        <v>10000</v>
      </c>
      <c r="K120" s="2">
        <v>4000</v>
      </c>
      <c r="L120" s="2">
        <v>600</v>
      </c>
      <c r="M120" s="2">
        <v>700</v>
      </c>
      <c r="N120" s="2">
        <v>6500</v>
      </c>
      <c r="O120" s="2">
        <v>6500</v>
      </c>
      <c r="P120" s="9"/>
      <c r="Q120" s="2">
        <f>SUM(OSRRefD21_17_3x)+IFERROR(SUM(OSRRefE21_17_3x),0)</f>
        <v>33914.14</v>
      </c>
    </row>
    <row r="121" spans="1:17" s="35" customFormat="1" collapsed="1" x14ac:dyDescent="0.3">
      <c r="A121" s="34"/>
      <c r="B121" s="14" t="str">
        <f>CONCATENATE("     ","Services                                          ")</f>
        <v xml:space="preserve">     Services                                          </v>
      </c>
      <c r="C121" s="14"/>
      <c r="D121" s="1">
        <f>SUM(OSRRefD21_18x_0)</f>
        <v>4006.32</v>
      </c>
      <c r="E121" s="1">
        <f>SUM(OSRRefD21_18x_1)</f>
        <v>12958.730000000001</v>
      </c>
      <c r="F121" s="1">
        <f>SUM(OSRRefD21_18x_2)</f>
        <v>4255.71</v>
      </c>
      <c r="G121" s="1">
        <f>SUM(OSRRefD21_18x_3)</f>
        <v>5241.84</v>
      </c>
      <c r="H121" s="1">
        <f>SUM(OSRRefD21_18x_4)</f>
        <v>4500.9799999999996</v>
      </c>
      <c r="I121" s="1">
        <f>SUM(OSRRefD21_18x_5)</f>
        <v>4823.41</v>
      </c>
      <c r="J121" s="1">
        <f>SUM(OSRRefE21_18x_0)</f>
        <v>4360</v>
      </c>
      <c r="K121" s="1">
        <f>SUM(OSRRefE21_18x_1)</f>
        <v>4360</v>
      </c>
      <c r="L121" s="1">
        <f>SUM(OSRRefE21_18x_2)</f>
        <v>4420</v>
      </c>
      <c r="M121" s="1">
        <f>SUM(OSRRefE21_18x_3)</f>
        <v>4360</v>
      </c>
      <c r="N121" s="1">
        <f>SUM(OSRRefE21_18x_4)</f>
        <v>4360</v>
      </c>
      <c r="O121" s="1">
        <f>SUM(OSRRefE21_18x_5)</f>
        <v>4420</v>
      </c>
      <c r="Q121" s="2">
        <f>SUM(OSRRefD20_18x)+IFERROR(SUM(OSRRefE20_18x),0)</f>
        <v>62066.990000000005</v>
      </c>
    </row>
    <row r="122" spans="1:17" s="35" customFormat="1" hidden="1" outlineLevel="1" x14ac:dyDescent="0.3">
      <c r="A122" s="34"/>
      <c r="B122" s="10" t="str">
        <f>CONCATENATE("          ","6282", " - ","JANITORIAL/EXTERMINATOR EXPENS")</f>
        <v xml:space="preserve">          6282 - JANITORIAL/EXTERMINATOR EXPENS</v>
      </c>
      <c r="C122" s="14"/>
      <c r="D122" s="2"/>
      <c r="E122" s="2">
        <v>291</v>
      </c>
      <c r="F122" s="2">
        <v>684.57</v>
      </c>
      <c r="G122" s="2">
        <v>753.11</v>
      </c>
      <c r="H122" s="2">
        <v>129</v>
      </c>
      <c r="I122" s="2">
        <v>267</v>
      </c>
      <c r="J122" s="2">
        <v>4300</v>
      </c>
      <c r="K122" s="2">
        <v>4300</v>
      </c>
      <c r="L122" s="2">
        <v>4300</v>
      </c>
      <c r="M122" s="2">
        <v>4300</v>
      </c>
      <c r="N122" s="2">
        <v>4300</v>
      </c>
      <c r="O122" s="2">
        <v>4300</v>
      </c>
      <c r="P122" s="9"/>
      <c r="Q122" s="2">
        <f>SUM(OSRRefD21_18_0x)+IFERROR(SUM(OSRRefE21_18_0x),0)</f>
        <v>27924.68</v>
      </c>
    </row>
    <row r="123" spans="1:17" s="35" customFormat="1" hidden="1" outlineLevel="1" x14ac:dyDescent="0.3">
      <c r="A123" s="34"/>
      <c r="B123" s="10" t="str">
        <f>CONCATENATE("          ","6284", " - ","TRASH REMOVAL EXPENSE")</f>
        <v xml:space="preserve">          6284 - TRASH REMOVAL EXPENSE</v>
      </c>
      <c r="C123" s="14"/>
      <c r="D123" s="2">
        <v>142.57</v>
      </c>
      <c r="E123" s="2">
        <v>149.69999999999999</v>
      </c>
      <c r="F123" s="2">
        <v>149.69999999999999</v>
      </c>
      <c r="G123" s="2">
        <v>149.69999999999999</v>
      </c>
      <c r="H123" s="2">
        <v>149.69999999999999</v>
      </c>
      <c r="I123" s="2">
        <v>149.69999999999999</v>
      </c>
      <c r="J123" s="2">
        <v>60</v>
      </c>
      <c r="K123" s="2">
        <v>60</v>
      </c>
      <c r="L123" s="2">
        <v>120</v>
      </c>
      <c r="M123" s="2">
        <v>60</v>
      </c>
      <c r="N123" s="2">
        <v>60</v>
      </c>
      <c r="O123" s="2">
        <v>120</v>
      </c>
      <c r="P123" s="9"/>
      <c r="Q123" s="2">
        <f>SUM(OSRRefD21_18_1x)+IFERROR(SUM(OSRRefE21_18_1x),0)</f>
        <v>1371.07</v>
      </c>
    </row>
    <row r="124" spans="1:17" s="35" customFormat="1" hidden="1" outlineLevel="1" x14ac:dyDescent="0.3">
      <c r="A124" s="34"/>
      <c r="B124" s="10" t="str">
        <f>CONCATENATE("          ","6285", " - ","JANITORIAL SERVICES")</f>
        <v xml:space="preserve">          6285 - JANITORIAL SERVICES</v>
      </c>
      <c r="C124" s="14"/>
      <c r="D124" s="2">
        <v>3863.75</v>
      </c>
      <c r="E124" s="2">
        <v>12518.03</v>
      </c>
      <c r="F124" s="2">
        <v>3421.44</v>
      </c>
      <c r="G124" s="2">
        <v>4339.03</v>
      </c>
      <c r="H124" s="2">
        <v>4222.28</v>
      </c>
      <c r="I124" s="2">
        <v>4406.71</v>
      </c>
      <c r="J124" s="2"/>
      <c r="K124" s="2"/>
      <c r="L124" s="2"/>
      <c r="M124" s="2"/>
      <c r="N124" s="2"/>
      <c r="O124" s="2"/>
      <c r="P124" s="9"/>
      <c r="Q124" s="2">
        <f>SUM(OSRRefD21_18_2x)+IFERROR(SUM(OSRRefE21_18_2x),0)</f>
        <v>32771.24</v>
      </c>
    </row>
    <row r="125" spans="1:17" s="35" customFormat="1" collapsed="1" x14ac:dyDescent="0.3">
      <c r="A125" s="34"/>
      <c r="B125" s="14" t="str">
        <f>CONCATENATE("     ","Subscriptions &amp; Dues                              ")</f>
        <v xml:space="preserve">     Subscriptions &amp; Dues                              </v>
      </c>
      <c r="C125" s="14"/>
      <c r="D125" s="1">
        <f>SUM(OSRRefD21_19x_0)</f>
        <v>68.319999999999993</v>
      </c>
      <c r="E125" s="1">
        <f>SUM(OSRRefD21_19x_1)</f>
        <v>57</v>
      </c>
      <c r="F125" s="1">
        <f>SUM(OSRRefD21_19x_2)</f>
        <v>-72.56</v>
      </c>
      <c r="G125" s="1">
        <f>SUM(OSRRefD21_19x_3)</f>
        <v>904.08</v>
      </c>
      <c r="H125" s="1">
        <f>SUM(OSRRefD21_19x_4)</f>
        <v>148.66</v>
      </c>
      <c r="I125" s="1">
        <f>SUM(OSRRefD21_19x_5)</f>
        <v>286.24</v>
      </c>
      <c r="J125" s="1">
        <f>SUM(OSRRefE21_19x_0)</f>
        <v>2381</v>
      </c>
      <c r="K125" s="1">
        <f>SUM(OSRRefE21_19x_1)</f>
        <v>1461</v>
      </c>
      <c r="L125" s="1">
        <f>SUM(OSRRefE21_19x_2)</f>
        <v>481</v>
      </c>
      <c r="M125" s="1">
        <f>SUM(OSRRefE21_19x_3)</f>
        <v>1461</v>
      </c>
      <c r="N125" s="1">
        <f>SUM(OSRRefE21_19x_4)</f>
        <v>481</v>
      </c>
      <c r="O125" s="1">
        <f>SUM(OSRRefE21_19x_5)</f>
        <v>661</v>
      </c>
      <c r="Q125" s="2">
        <f>SUM(OSRRefD20_19x)+IFERROR(SUM(OSRRefE20_19x),0)</f>
        <v>8317.74</v>
      </c>
    </row>
    <row r="126" spans="1:17" s="35" customFormat="1" hidden="1" outlineLevel="1" x14ac:dyDescent="0.3">
      <c r="A126" s="34"/>
      <c r="B126" s="10" t="str">
        <f>CONCATENATE("          ","6258", " - ","MEMBERSHIP DUES")</f>
        <v xml:space="preserve">          6258 - MEMBERSHIP DUES</v>
      </c>
      <c r="C126" s="14"/>
      <c r="D126" s="2">
        <v>68.319999999999993</v>
      </c>
      <c r="E126" s="2">
        <v>57</v>
      </c>
      <c r="F126" s="2">
        <v>-72.56</v>
      </c>
      <c r="G126" s="2">
        <v>904.08</v>
      </c>
      <c r="H126" s="2">
        <v>148.66</v>
      </c>
      <c r="I126" s="2">
        <v>286.24</v>
      </c>
      <c r="J126" s="2">
        <v>300</v>
      </c>
      <c r="K126" s="2">
        <v>1300</v>
      </c>
      <c r="L126" s="2">
        <v>300</v>
      </c>
      <c r="M126" s="2">
        <v>1300</v>
      </c>
      <c r="N126" s="2">
        <v>300</v>
      </c>
      <c r="O126" s="2">
        <v>500</v>
      </c>
      <c r="P126" s="9"/>
      <c r="Q126" s="2">
        <f>SUM(OSRRefD21_19_0x)+IFERROR(SUM(OSRRefE21_19_0x),0)</f>
        <v>5391.74</v>
      </c>
    </row>
    <row r="127" spans="1:17" s="35" customFormat="1" hidden="1" outlineLevel="1" x14ac:dyDescent="0.3">
      <c r="A127" s="34"/>
      <c r="B127" s="10" t="str">
        <f>CONCATENATE("          ","6275", " - ","SUBSCRIPTIONS")</f>
        <v xml:space="preserve">          6275 - SUBSCRIPTIONS</v>
      </c>
      <c r="C127" s="14"/>
      <c r="D127" s="2"/>
      <c r="E127" s="2"/>
      <c r="F127" s="2"/>
      <c r="G127" s="2"/>
      <c r="H127" s="2"/>
      <c r="I127" s="2"/>
      <c r="J127" s="2">
        <v>2081</v>
      </c>
      <c r="K127" s="2">
        <v>161</v>
      </c>
      <c r="L127" s="2">
        <v>181</v>
      </c>
      <c r="M127" s="2">
        <v>161</v>
      </c>
      <c r="N127" s="2">
        <v>181</v>
      </c>
      <c r="O127" s="2">
        <v>161</v>
      </c>
      <c r="P127" s="9"/>
      <c r="Q127" s="2">
        <f>SUM(OSRRefD21_19_1x)+IFERROR(SUM(OSRRefE21_19_1x),0)</f>
        <v>2926</v>
      </c>
    </row>
    <row r="128" spans="1:17" s="35" customFormat="1" collapsed="1" x14ac:dyDescent="0.3">
      <c r="A128" s="34"/>
      <c r="B128" s="14" t="str">
        <f>CONCATENATE("     ","Supplies                                          ")</f>
        <v xml:space="preserve">     Supplies                                          </v>
      </c>
      <c r="C128" s="14"/>
      <c r="D128" s="1">
        <f>SUM(OSRRefD21_20x_0)</f>
        <v>9128.16</v>
      </c>
      <c r="E128" s="1">
        <f>SUM(OSRRefD21_20x_1)</f>
        <v>16315.83</v>
      </c>
      <c r="F128" s="1">
        <f>SUM(OSRRefD21_20x_2)</f>
        <v>5201.7299999999996</v>
      </c>
      <c r="G128" s="1">
        <f>SUM(OSRRefD21_20x_3)</f>
        <v>12404.46</v>
      </c>
      <c r="H128" s="1">
        <f>SUM(OSRRefD21_20x_4)</f>
        <v>6962.4400000000005</v>
      </c>
      <c r="I128" s="1">
        <f>SUM(OSRRefD21_20x_5)</f>
        <v>6011.63</v>
      </c>
      <c r="J128" s="1">
        <f>SUM(OSRRefE21_20x_0)</f>
        <v>18540</v>
      </c>
      <c r="K128" s="1">
        <f>SUM(OSRRefE21_20x_1)</f>
        <v>13640</v>
      </c>
      <c r="L128" s="1">
        <f>SUM(OSRRefE21_20x_2)</f>
        <v>8040</v>
      </c>
      <c r="M128" s="1">
        <f>SUM(OSRRefE21_20x_3)</f>
        <v>11290</v>
      </c>
      <c r="N128" s="1">
        <f>SUM(OSRRefE21_20x_4)</f>
        <v>12230</v>
      </c>
      <c r="O128" s="1">
        <f>SUM(OSRRefE21_20x_5)</f>
        <v>7940</v>
      </c>
      <c r="Q128" s="2">
        <f>SUM(OSRRefD20_20x)+IFERROR(SUM(OSRRefE20_20x),0)</f>
        <v>127704.25</v>
      </c>
    </row>
    <row r="129" spans="1:17" s="35" customFormat="1" hidden="1" outlineLevel="1" x14ac:dyDescent="0.3">
      <c r="A129" s="34"/>
      <c r="B129" s="10" t="str">
        <f>CONCATENATE("          ","6234", " - ","EXPENDABLE SUPPLIES &amp; EQUIPMEN")</f>
        <v xml:space="preserve">          6234 - EXPENDABLE SUPPLIES &amp; EQUIPMEN</v>
      </c>
      <c r="C129" s="14"/>
      <c r="D129" s="2"/>
      <c r="E129" s="2"/>
      <c r="F129" s="2"/>
      <c r="G129" s="2">
        <v>2542.41</v>
      </c>
      <c r="H129" s="2">
        <v>2747.16</v>
      </c>
      <c r="I129" s="2"/>
      <c r="J129" s="2">
        <v>300</v>
      </c>
      <c r="K129" s="2">
        <v>300</v>
      </c>
      <c r="L129" s="2">
        <v>300</v>
      </c>
      <c r="M129" s="2">
        <v>300</v>
      </c>
      <c r="N129" s="2">
        <v>300</v>
      </c>
      <c r="O129" s="2">
        <v>300</v>
      </c>
      <c r="P129" s="9"/>
      <c r="Q129" s="2">
        <f>SUM(OSRRefD21_20_0x)+IFERROR(SUM(OSRRefE21_20_0x),0)</f>
        <v>7089.57</v>
      </c>
    </row>
    <row r="130" spans="1:17" s="35" customFormat="1" hidden="1" outlineLevel="1" x14ac:dyDescent="0.3">
      <c r="A130" s="34"/>
      <c r="B130" s="10" t="str">
        <f>CONCATENATE("          ","6235", " - ","COVID-19 EXPENSES")</f>
        <v xml:space="preserve">          6235 - COVID-19 EXPENSES</v>
      </c>
      <c r="C130" s="14"/>
      <c r="D130" s="2">
        <v>272.22000000000003</v>
      </c>
      <c r="E130" s="2">
        <v>2695.61</v>
      </c>
      <c r="F130" s="2">
        <v>462.49</v>
      </c>
      <c r="G130" s="2"/>
      <c r="H130" s="2"/>
      <c r="I130" s="2"/>
      <c r="J130" s="2">
        <v>125</v>
      </c>
      <c r="K130" s="2">
        <v>125</v>
      </c>
      <c r="L130" s="2">
        <v>125</v>
      </c>
      <c r="M130" s="2">
        <v>125</v>
      </c>
      <c r="N130" s="2">
        <v>125</v>
      </c>
      <c r="O130" s="2">
        <v>125</v>
      </c>
      <c r="P130" s="9"/>
      <c r="Q130" s="2">
        <f>SUM(OSRRefD21_20_1x)+IFERROR(SUM(OSRRefE21_20_1x),0)</f>
        <v>4180.32</v>
      </c>
    </row>
    <row r="131" spans="1:17" s="35" customFormat="1" hidden="1" outlineLevel="1" x14ac:dyDescent="0.3">
      <c r="A131" s="34"/>
      <c r="B131" s="10" t="str">
        <f>CONCATENATE("          ","6237", " - ","JANITORIAL SUPPLIES")</f>
        <v xml:space="preserve">          6237 - JANITORIAL SUPPLIES</v>
      </c>
      <c r="C131" s="14"/>
      <c r="D131" s="2">
        <v>655.97</v>
      </c>
      <c r="E131" s="2">
        <v>1169.72</v>
      </c>
      <c r="F131" s="2">
        <v>247</v>
      </c>
      <c r="G131" s="2">
        <v>1303.78</v>
      </c>
      <c r="H131" s="2">
        <v>489.67</v>
      </c>
      <c r="I131" s="2"/>
      <c r="J131" s="2">
        <v>10</v>
      </c>
      <c r="K131" s="2">
        <v>10</v>
      </c>
      <c r="L131" s="2">
        <v>10</v>
      </c>
      <c r="M131" s="2">
        <v>10</v>
      </c>
      <c r="N131" s="2">
        <v>50</v>
      </c>
      <c r="O131" s="2">
        <v>10</v>
      </c>
      <c r="P131" s="9"/>
      <c r="Q131" s="2">
        <f>SUM(OSRRefD21_20_2x)+IFERROR(SUM(OSRRefE21_20_2x),0)</f>
        <v>3966.1400000000003</v>
      </c>
    </row>
    <row r="132" spans="1:17" s="35" customFormat="1" hidden="1" outlineLevel="1" x14ac:dyDescent="0.3">
      <c r="A132" s="34"/>
      <c r="B132" s="10" t="str">
        <f>CONCATENATE("          ","6241", " - ","OFFICE EXPENSE")</f>
        <v xml:space="preserve">          6241 - OFFICE EXPENSE</v>
      </c>
      <c r="C132" s="14"/>
      <c r="D132" s="2">
        <v>415.21</v>
      </c>
      <c r="E132" s="2">
        <v>5642.81</v>
      </c>
      <c r="F132" s="2">
        <v>128.32</v>
      </c>
      <c r="G132" s="2">
        <v>1149.57</v>
      </c>
      <c r="H132" s="2">
        <v>569.61</v>
      </c>
      <c r="I132" s="2">
        <v>886.72</v>
      </c>
      <c r="J132" s="2">
        <v>780</v>
      </c>
      <c r="K132" s="2">
        <v>830</v>
      </c>
      <c r="L132" s="2">
        <v>580</v>
      </c>
      <c r="M132" s="2">
        <v>580</v>
      </c>
      <c r="N132" s="2">
        <v>580</v>
      </c>
      <c r="O132" s="2">
        <v>530</v>
      </c>
      <c r="P132" s="9"/>
      <c r="Q132" s="2">
        <f>SUM(OSRRefD21_20_3x)+IFERROR(SUM(OSRRefE21_20_3x),0)</f>
        <v>12672.24</v>
      </c>
    </row>
    <row r="133" spans="1:17" s="35" customFormat="1" hidden="1" outlineLevel="1" x14ac:dyDescent="0.3">
      <c r="A133" s="34"/>
      <c r="B133" s="10" t="str">
        <f>CONCATENATE("          ","6243", " - ","PAPER SUPPLIES")</f>
        <v xml:space="preserve">          6243 - PAPER SUPPLIES</v>
      </c>
      <c r="C133" s="14"/>
      <c r="D133" s="2">
        <v>1649.24</v>
      </c>
      <c r="E133" s="2">
        <v>1801.68</v>
      </c>
      <c r="F133" s="2"/>
      <c r="G133" s="2">
        <v>735.87</v>
      </c>
      <c r="H133" s="2">
        <v>284.11</v>
      </c>
      <c r="I133" s="2"/>
      <c r="J133" s="2">
        <v>7500</v>
      </c>
      <c r="K133" s="2">
        <v>3800</v>
      </c>
      <c r="L133" s="2">
        <v>150</v>
      </c>
      <c r="M133" s="2">
        <v>4200</v>
      </c>
      <c r="N133" s="2">
        <v>2800</v>
      </c>
      <c r="O133" s="2">
        <v>1250</v>
      </c>
      <c r="P133" s="9"/>
      <c r="Q133" s="2">
        <f>SUM(OSRRefD21_20_4x)+IFERROR(SUM(OSRRefE21_20_4x),0)</f>
        <v>24170.9</v>
      </c>
    </row>
    <row r="134" spans="1:17" s="35" customFormat="1" hidden="1" outlineLevel="1" x14ac:dyDescent="0.3">
      <c r="A134" s="34"/>
      <c r="B134" s="10" t="str">
        <f>CONCATENATE("          ","6245", " - ","PRINTING")</f>
        <v xml:space="preserve">          6245 - PRINTING</v>
      </c>
      <c r="C134" s="14"/>
      <c r="D134" s="2">
        <v>251.64</v>
      </c>
      <c r="E134" s="2">
        <v>-851.82</v>
      </c>
      <c r="F134" s="2">
        <v>276.43</v>
      </c>
      <c r="G134" s="2">
        <v>296.68</v>
      </c>
      <c r="H134" s="2">
        <v>1092.56</v>
      </c>
      <c r="I134" s="2">
        <v>1046.49</v>
      </c>
      <c r="J134" s="2">
        <v>3750</v>
      </c>
      <c r="K134" s="2">
        <v>1600</v>
      </c>
      <c r="L134" s="2">
        <v>500</v>
      </c>
      <c r="M134" s="2">
        <v>50</v>
      </c>
      <c r="N134" s="2">
        <v>2300</v>
      </c>
      <c r="O134" s="2">
        <v>50</v>
      </c>
      <c r="P134" s="9"/>
      <c r="Q134" s="2">
        <f>SUM(OSRRefD21_20_5x)+IFERROR(SUM(OSRRefE21_20_5x),0)</f>
        <v>10361.98</v>
      </c>
    </row>
    <row r="135" spans="1:17" s="35" customFormat="1" hidden="1" outlineLevel="1" x14ac:dyDescent="0.3">
      <c r="A135" s="34"/>
      <c r="B135" s="10" t="str">
        <f>CONCATENATE("          ","6247", " - ","STORE SUPPLIES")</f>
        <v xml:space="preserve">          6247 - STORE SUPPLIES</v>
      </c>
      <c r="C135" s="14"/>
      <c r="D135" s="2">
        <v>5883.88</v>
      </c>
      <c r="E135" s="2">
        <v>5857.83</v>
      </c>
      <c r="F135" s="2">
        <v>4087.49</v>
      </c>
      <c r="G135" s="2">
        <v>6376.15</v>
      </c>
      <c r="H135" s="2">
        <v>1779.33</v>
      </c>
      <c r="I135" s="2">
        <v>4078.42</v>
      </c>
      <c r="J135" s="2">
        <v>6075</v>
      </c>
      <c r="K135" s="2">
        <v>6975</v>
      </c>
      <c r="L135" s="2">
        <v>6375</v>
      </c>
      <c r="M135" s="2">
        <v>6025</v>
      </c>
      <c r="N135" s="2">
        <v>6075</v>
      </c>
      <c r="O135" s="2">
        <v>5675</v>
      </c>
      <c r="P135" s="9"/>
      <c r="Q135" s="2">
        <f>SUM(OSRRefD21_20_6x)+IFERROR(SUM(OSRRefE21_20_6x),0)</f>
        <v>65263.1</v>
      </c>
    </row>
    <row r="136" spans="1:17" s="35" customFormat="1" collapsed="1" x14ac:dyDescent="0.3">
      <c r="A136" s="34"/>
      <c r="B136" s="14" t="str">
        <f>CONCATENATE("     ","Telephone/Data Lines                              ")</f>
        <v xml:space="preserve">     Telephone/Data Lines                              </v>
      </c>
      <c r="C136" s="14"/>
      <c r="D136" s="1">
        <f>SUM(OSRRefD21_21x_0)</f>
        <v>1851.74</v>
      </c>
      <c r="E136" s="1">
        <f>SUM(OSRRefD21_21x_1)</f>
        <v>2291.39</v>
      </c>
      <c r="F136" s="1">
        <f>SUM(OSRRefD21_21x_2)</f>
        <v>1721.14</v>
      </c>
      <c r="G136" s="1">
        <f>SUM(OSRRefD21_21x_3)</f>
        <v>2607.34</v>
      </c>
      <c r="H136" s="1">
        <f>SUM(OSRRefD21_21x_4)</f>
        <v>2077.14</v>
      </c>
      <c r="I136" s="1">
        <f>SUM(OSRRefD21_21x_5)</f>
        <v>1372.46</v>
      </c>
      <c r="J136" s="1">
        <f>SUM(OSRRefE21_21x_0)</f>
        <v>2160</v>
      </c>
      <c r="K136" s="1">
        <f>SUM(OSRRefE21_21x_1)</f>
        <v>2060</v>
      </c>
      <c r="L136" s="1">
        <f>SUM(OSRRefE21_21x_2)</f>
        <v>2060</v>
      </c>
      <c r="M136" s="1">
        <f>SUM(OSRRefE21_21x_3)</f>
        <v>2060</v>
      </c>
      <c r="N136" s="1">
        <f>SUM(OSRRefE21_21x_4)</f>
        <v>2060</v>
      </c>
      <c r="O136" s="1">
        <f>SUM(OSRRefE21_21x_5)</f>
        <v>2060</v>
      </c>
      <c r="Q136" s="2">
        <f>SUM(OSRRefD20_21x)+IFERROR(SUM(OSRRefE20_21x),0)</f>
        <v>24381.21</v>
      </c>
    </row>
    <row r="137" spans="1:17" s="35" customFormat="1" hidden="1" outlineLevel="1" x14ac:dyDescent="0.3">
      <c r="A137" s="34"/>
      <c r="B137" s="10" t="str">
        <f>CONCATENATE("          ","6303", " - ","DATA PHONE LINES")</f>
        <v xml:space="preserve">          6303 - DATA PHONE LINES</v>
      </c>
      <c r="C137" s="14"/>
      <c r="D137" s="2">
        <v>295</v>
      </c>
      <c r="E137" s="2"/>
      <c r="F137" s="2"/>
      <c r="G137" s="2"/>
      <c r="H137" s="2"/>
      <c r="I137" s="2"/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SUM(OSRRefD21_21_0x)+IFERROR(SUM(OSRRefE21_21_0x),0)</f>
        <v>295</v>
      </c>
    </row>
    <row r="138" spans="1:17" s="35" customFormat="1" hidden="1" outlineLevel="1" x14ac:dyDescent="0.3">
      <c r="A138" s="34"/>
      <c r="B138" s="10" t="str">
        <f>CONCATENATE("          ","6309", " - ","TELEPHONE")</f>
        <v xml:space="preserve">          6309 - TELEPHONE</v>
      </c>
      <c r="C138" s="14"/>
      <c r="D138" s="2">
        <v>1556.74</v>
      </c>
      <c r="E138" s="2">
        <v>2291.39</v>
      </c>
      <c r="F138" s="2">
        <v>1721.14</v>
      </c>
      <c r="G138" s="2">
        <v>2607.34</v>
      </c>
      <c r="H138" s="2">
        <v>2077.14</v>
      </c>
      <c r="I138" s="2">
        <v>1372.46</v>
      </c>
      <c r="J138" s="2">
        <v>2160</v>
      </c>
      <c r="K138" s="2">
        <v>2060</v>
      </c>
      <c r="L138" s="2">
        <v>2060</v>
      </c>
      <c r="M138" s="2">
        <v>2060</v>
      </c>
      <c r="N138" s="2">
        <v>2060</v>
      </c>
      <c r="O138" s="2">
        <v>2060</v>
      </c>
      <c r="P138" s="9"/>
      <c r="Q138" s="2">
        <f>SUM(OSRRefD21_21_1x)+IFERROR(SUM(OSRRefE21_21_1x),0)</f>
        <v>24086.21</v>
      </c>
    </row>
    <row r="139" spans="1:17" s="35" customFormat="1" collapsed="1" x14ac:dyDescent="0.3">
      <c r="A139" s="34"/>
      <c r="B139" s="14" t="str">
        <f>CONCATENATE("     ","Training                                          ")</f>
        <v xml:space="preserve">     Training                                          </v>
      </c>
      <c r="C139" s="14"/>
      <c r="D139" s="1">
        <f>SUM(OSRRefD21_22x_0)</f>
        <v>0</v>
      </c>
      <c r="E139" s="1">
        <f>SUM(OSRRefD21_22x_1)</f>
        <v>0</v>
      </c>
      <c r="F139" s="1">
        <f>SUM(OSRRefD21_22x_2)</f>
        <v>595</v>
      </c>
      <c r="G139" s="1">
        <f>SUM(OSRRefD21_22x_3)</f>
        <v>0</v>
      </c>
      <c r="H139" s="1">
        <f>SUM(OSRRefD21_22x_4)</f>
        <v>0</v>
      </c>
      <c r="I139" s="1">
        <f>SUM(OSRRefD21_22x_5)</f>
        <v>0</v>
      </c>
      <c r="J139" s="1">
        <f>SUM(OSRRefE21_22x_0)</f>
        <v>0</v>
      </c>
      <c r="K139" s="1">
        <f>SUM(OSRRefE21_22x_1)</f>
        <v>2000</v>
      </c>
      <c r="L139" s="1">
        <f>SUM(OSRRefE21_22x_2)</f>
        <v>0</v>
      </c>
      <c r="M139" s="1">
        <f>SUM(OSRRefE21_22x_3)</f>
        <v>0</v>
      </c>
      <c r="N139" s="1">
        <f>SUM(OSRRefE21_22x_4)</f>
        <v>0</v>
      </c>
      <c r="O139" s="1">
        <f>SUM(OSRRefE21_22x_5)</f>
        <v>0</v>
      </c>
      <c r="Q139" s="2">
        <f>SUM(OSRRefD20_22x)+IFERROR(SUM(OSRRefE20_22x),0)</f>
        <v>2595</v>
      </c>
    </row>
    <row r="140" spans="1:17" s="35" customFormat="1" hidden="1" outlineLevel="1" x14ac:dyDescent="0.3">
      <c r="A140" s="34"/>
      <c r="B140" s="10" t="str">
        <f>CONCATENATE("          ","6376", " - ","TRAINING")</f>
        <v xml:space="preserve">          6376 - TRAINING</v>
      </c>
      <c r="C140" s="14"/>
      <c r="D140" s="2"/>
      <c r="E140" s="2"/>
      <c r="F140" s="2">
        <v>595</v>
      </c>
      <c r="G140" s="2"/>
      <c r="H140" s="2"/>
      <c r="I140" s="2"/>
      <c r="J140" s="2">
        <v>0</v>
      </c>
      <c r="K140" s="2">
        <v>2000</v>
      </c>
      <c r="L140" s="2">
        <v>0</v>
      </c>
      <c r="M140" s="2">
        <v>0</v>
      </c>
      <c r="N140" s="2">
        <v>0</v>
      </c>
      <c r="O140" s="2"/>
      <c r="P140" s="9"/>
      <c r="Q140" s="2">
        <f>SUM(OSRRefD21_22_0x)+IFERROR(SUM(OSRRefE21_22_0x),0)</f>
        <v>2595</v>
      </c>
    </row>
    <row r="141" spans="1:17" s="35" customFormat="1" collapsed="1" x14ac:dyDescent="0.3">
      <c r="A141" s="34"/>
      <c r="B141" s="14" t="str">
        <f>CONCATENATE("     ","Travel                                            ")</f>
        <v xml:space="preserve">     Travel                                            </v>
      </c>
      <c r="C141" s="14"/>
      <c r="D141" s="1">
        <f>SUM(OSRRefD21_23x_0)</f>
        <v>683.14</v>
      </c>
      <c r="E141" s="1">
        <f>SUM(OSRRefD21_23x_1)</f>
        <v>0</v>
      </c>
      <c r="F141" s="1">
        <f>SUM(OSRRefD21_23x_2)</f>
        <v>27.39</v>
      </c>
      <c r="G141" s="1">
        <f>SUM(OSRRefD21_23x_3)</f>
        <v>50</v>
      </c>
      <c r="H141" s="1">
        <f>SUM(OSRRefD21_23x_4)</f>
        <v>97.08</v>
      </c>
      <c r="I141" s="1">
        <f>SUM(OSRRefD21_23x_5)</f>
        <v>24.4</v>
      </c>
      <c r="J141" s="1">
        <f>SUM(OSRRefE21_23x_0)</f>
        <v>175</v>
      </c>
      <c r="K141" s="1">
        <f>SUM(OSRRefE21_23x_1)</f>
        <v>175</v>
      </c>
      <c r="L141" s="1">
        <f>SUM(OSRRefE21_23x_2)</f>
        <v>175</v>
      </c>
      <c r="M141" s="1">
        <f>SUM(OSRRefE21_23x_3)</f>
        <v>175</v>
      </c>
      <c r="N141" s="1">
        <f>SUM(OSRRefE21_23x_4)</f>
        <v>175</v>
      </c>
      <c r="O141" s="1">
        <f>SUM(OSRRefE21_23x_5)</f>
        <v>175</v>
      </c>
      <c r="Q141" s="2">
        <f>SUM(OSRRefD20_23x)+IFERROR(SUM(OSRRefE20_23x),0)</f>
        <v>1932.01</v>
      </c>
    </row>
    <row r="142" spans="1:17" s="35" customFormat="1" hidden="1" outlineLevel="1" x14ac:dyDescent="0.3">
      <c r="A142" s="34"/>
      <c r="B142" s="10" t="str">
        <f>CONCATENATE("          ","6292", " - ","TRAVEL/CONFERENCE")</f>
        <v xml:space="preserve">          6292 - TRAVEL/CONFERENCE</v>
      </c>
      <c r="C142" s="14"/>
      <c r="D142" s="2">
        <v>495</v>
      </c>
      <c r="E142" s="2"/>
      <c r="F142" s="2"/>
      <c r="G142" s="2"/>
      <c r="H142" s="2"/>
      <c r="I142" s="2"/>
      <c r="J142" s="2">
        <v>125</v>
      </c>
      <c r="K142" s="2">
        <v>125</v>
      </c>
      <c r="L142" s="2">
        <v>125</v>
      </c>
      <c r="M142" s="2">
        <v>125</v>
      </c>
      <c r="N142" s="2">
        <v>125</v>
      </c>
      <c r="O142" s="2">
        <v>125</v>
      </c>
      <c r="P142" s="9"/>
      <c r="Q142" s="2">
        <f>SUM(OSRRefD21_23_0x)+IFERROR(SUM(OSRRefE21_23_0x),0)</f>
        <v>1245</v>
      </c>
    </row>
    <row r="143" spans="1:17" s="35" customFormat="1" hidden="1" outlineLevel="1" x14ac:dyDescent="0.3">
      <c r="A143" s="34"/>
      <c r="B143" s="10" t="str">
        <f>CONCATENATE("          ","6294", " - ","TRAVEL OPERATIONAL")</f>
        <v xml:space="preserve">          6294 - TRAVEL OPERATIONAL</v>
      </c>
      <c r="C143" s="14"/>
      <c r="D143" s="2">
        <v>188.14</v>
      </c>
      <c r="E143" s="2"/>
      <c r="F143" s="2">
        <v>27.39</v>
      </c>
      <c r="G143" s="2"/>
      <c r="H143" s="2"/>
      <c r="I143" s="2">
        <v>24.4</v>
      </c>
      <c r="J143" s="2">
        <v>25</v>
      </c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SUM(OSRRefD21_23_1x)+IFERROR(SUM(OSRRefE21_23_1x),0)</f>
        <v>389.92999999999995</v>
      </c>
    </row>
    <row r="144" spans="1:17" s="35" customFormat="1" hidden="1" outlineLevel="1" x14ac:dyDescent="0.3">
      <c r="A144" s="34"/>
      <c r="B144" s="10" t="str">
        <f>CONCATENATE("          ","6298", " - ","VEHICLE MILEAGE")</f>
        <v xml:space="preserve">          6298 - VEHICLE MILEAGE</v>
      </c>
      <c r="C144" s="14"/>
      <c r="D144" s="2"/>
      <c r="E144" s="2"/>
      <c r="F144" s="2"/>
      <c r="G144" s="2">
        <v>50</v>
      </c>
      <c r="H144" s="2">
        <v>97.08</v>
      </c>
      <c r="I144" s="2"/>
      <c r="J144" s="2">
        <v>25</v>
      </c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SUM(OSRRefD21_23_2x)+IFERROR(SUM(OSRRefE21_23_2x),0)</f>
        <v>297.08</v>
      </c>
    </row>
    <row r="145" spans="1:17" s="35" customFormat="1" collapsed="1" x14ac:dyDescent="0.3">
      <c r="A145" s="34"/>
      <c r="B145" s="14" t="str">
        <f>CONCATENATE("     ","Utilities                                         ")</f>
        <v xml:space="preserve">     Utilities                                         </v>
      </c>
      <c r="C145" s="14"/>
      <c r="D145" s="1">
        <f>SUM(OSRRefD21_24x_0)</f>
        <v>6036.49</v>
      </c>
      <c r="E145" s="1">
        <f>SUM(OSRRefD21_24x_1)</f>
        <v>6037.29</v>
      </c>
      <c r="F145" s="1">
        <f>SUM(OSRRefD21_24x_2)</f>
        <v>6037.6</v>
      </c>
      <c r="G145" s="1">
        <f>SUM(OSRRefD21_24x_3)</f>
        <v>6038.6</v>
      </c>
      <c r="H145" s="1">
        <f>SUM(OSRRefD21_24x_4)</f>
        <v>6033.61</v>
      </c>
      <c r="I145" s="1">
        <f>SUM(OSRRefD21_24x_5)</f>
        <v>62.92</v>
      </c>
      <c r="J145" s="1">
        <f>SUM(OSRRefE21_24x_0)</f>
        <v>6120</v>
      </c>
      <c r="K145" s="1">
        <f>SUM(OSRRefE21_24x_1)</f>
        <v>8800</v>
      </c>
      <c r="L145" s="1">
        <f>SUM(OSRRefE21_24x_2)</f>
        <v>6120</v>
      </c>
      <c r="M145" s="1">
        <f>SUM(OSRRefE21_24x_3)</f>
        <v>6120</v>
      </c>
      <c r="N145" s="1">
        <f>SUM(OSRRefE21_24x_4)</f>
        <v>6120</v>
      </c>
      <c r="O145" s="1">
        <f>SUM(OSRRefE21_24x_5)</f>
        <v>6120</v>
      </c>
      <c r="Q145" s="2">
        <f>SUM(OSRRefD20_24x)+IFERROR(SUM(OSRRefE20_24x),0)</f>
        <v>69646.509999999995</v>
      </c>
    </row>
    <row r="146" spans="1:17" s="35" customFormat="1" hidden="1" outlineLevel="1" x14ac:dyDescent="0.3">
      <c r="A146" s="34"/>
      <c r="B146" s="10" t="str">
        <f>CONCATENATE("          ","6274", " - ","UTILITIES")</f>
        <v xml:space="preserve">          6274 - UTILITIES</v>
      </c>
      <c r="C146" s="14"/>
      <c r="D146" s="2">
        <v>6036.49</v>
      </c>
      <c r="E146" s="2">
        <v>6037.29</v>
      </c>
      <c r="F146" s="2">
        <v>6037.6</v>
      </c>
      <c r="G146" s="2">
        <v>6038.6</v>
      </c>
      <c r="H146" s="2">
        <v>6033.61</v>
      </c>
      <c r="I146" s="2">
        <v>62.92</v>
      </c>
      <c r="J146" s="2">
        <v>6120</v>
      </c>
      <c r="K146" s="2">
        <v>8800</v>
      </c>
      <c r="L146" s="2">
        <v>6120</v>
      </c>
      <c r="M146" s="2">
        <v>6120</v>
      </c>
      <c r="N146" s="2">
        <v>6120</v>
      </c>
      <c r="O146" s="2">
        <v>6120</v>
      </c>
      <c r="P146" s="9"/>
      <c r="Q146" s="2">
        <f>SUM(OSRRefD21_24_0x)+IFERROR(SUM(OSRRefE21_24_0x),0)</f>
        <v>69646.509999999995</v>
      </c>
    </row>
    <row r="147" spans="1:17" s="29" customFormat="1" x14ac:dyDescent="0.3">
      <c r="A147" s="21"/>
      <c r="B147" s="21"/>
      <c r="C147" s="2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7" s="9" customFormat="1" x14ac:dyDescent="0.3">
      <c r="A148" s="23"/>
      <c r="B148" s="16" t="s">
        <v>293</v>
      </c>
      <c r="C148" s="22"/>
      <c r="D148" s="3">
        <f>--39834.23</f>
        <v>39834.230000000003</v>
      </c>
      <c r="E148" s="3">
        <f>--146544.04</f>
        <v>146544.04</v>
      </c>
      <c r="F148" s="3">
        <f>--179244.45</f>
        <v>179244.45</v>
      </c>
      <c r="G148" s="3">
        <f>--37823.51</f>
        <v>37823.51</v>
      </c>
      <c r="H148" s="3">
        <f>--54509.97</f>
        <v>54509.97</v>
      </c>
      <c r="I148" s="3">
        <f>--14550.55</f>
        <v>14550.55</v>
      </c>
      <c r="J148" s="3">
        <v>29264.33</v>
      </c>
      <c r="K148" s="3">
        <v>213500.4</v>
      </c>
      <c r="L148" s="3">
        <v>62910</v>
      </c>
      <c r="M148" s="3">
        <v>34783</v>
      </c>
      <c r="N148" s="3">
        <v>303583</v>
      </c>
      <c r="O148" s="3">
        <v>222100</v>
      </c>
      <c r="Q148" s="2">
        <f>SUM(OSRRefD23_0x)+IFERROR(SUM(OSRRefE23_0x),0)</f>
        <v>1338647.48</v>
      </c>
    </row>
    <row r="149" spans="1:17" x14ac:dyDescent="0.3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x14ac:dyDescent="0.3">
      <c r="A150" s="6"/>
      <c r="B150" s="17" t="s">
        <v>276</v>
      </c>
      <c r="C150" s="17"/>
      <c r="D150" s="7">
        <f t="shared" ref="D150:O150" si="4">IFERROR(+D54-D57+D148, 0)</f>
        <v>-234469.15999999995</v>
      </c>
      <c r="E150" s="7">
        <f t="shared" si="4"/>
        <v>364578.14000000013</v>
      </c>
      <c r="F150" s="7">
        <f t="shared" si="4"/>
        <v>131917.64000000001</v>
      </c>
      <c r="G150" s="7">
        <f t="shared" si="4"/>
        <v>-70795.589999999967</v>
      </c>
      <c r="H150" s="7">
        <f t="shared" si="4"/>
        <v>-56864.959999999963</v>
      </c>
      <c r="I150" s="7">
        <f t="shared" si="4"/>
        <v>-20578.609999999975</v>
      </c>
      <c r="J150" s="7">
        <f t="shared" si="4"/>
        <v>273855.63207065617</v>
      </c>
      <c r="K150" s="7">
        <f t="shared" si="4"/>
        <v>137549.28579487492</v>
      </c>
      <c r="L150" s="7">
        <f t="shared" si="4"/>
        <v>-15021.632666625082</v>
      </c>
      <c r="M150" s="7">
        <f t="shared" si="4"/>
        <v>-91853.79096984386</v>
      </c>
      <c r="N150" s="7">
        <f t="shared" si="4"/>
        <v>245915.46549037495</v>
      </c>
      <c r="O150" s="7">
        <f t="shared" si="4"/>
        <v>74824.857633924927</v>
      </c>
      <c r="Q150" s="7">
        <f>IFERROR(+Q54-Q57+Q148, 0)</f>
        <v>739057.27735336078</v>
      </c>
    </row>
    <row r="151" spans="1:17" s="6" customFormat="1" x14ac:dyDescent="0.3">
      <c r="B151" s="16"/>
      <c r="C151" s="16"/>
      <c r="D151" s="4">
        <f t="shared" ref="D151:O151" si="5">IFERROR(D150/D10, 0)</f>
        <v>-0.74245029805146534</v>
      </c>
      <c r="E151" s="4">
        <f t="shared" si="5"/>
        <v>0.19641440649322259</v>
      </c>
      <c r="F151" s="4">
        <f t="shared" si="5"/>
        <v>0.173732967572712</v>
      </c>
      <c r="G151" s="4">
        <f t="shared" si="5"/>
        <v>-0.10450095185189208</v>
      </c>
      <c r="H151" s="4">
        <f t="shared" si="5"/>
        <v>-0.1468368634456749</v>
      </c>
      <c r="I151" s="4">
        <f t="shared" si="5"/>
        <v>-3.2573194878723649E-2</v>
      </c>
      <c r="J151" s="4">
        <f t="shared" si="5"/>
        <v>0.12578970381608126</v>
      </c>
      <c r="K151" s="4">
        <f t="shared" si="5"/>
        <v>0.21015291479996778</v>
      </c>
      <c r="L151" s="4">
        <f t="shared" si="5"/>
        <v>-3.2014118496107538E-2</v>
      </c>
      <c r="M151" s="4">
        <f t="shared" si="5"/>
        <v>-0.16420877514398979</v>
      </c>
      <c r="N151" s="4">
        <f t="shared" si="5"/>
        <v>0.32005698646106773</v>
      </c>
      <c r="O151" s="4">
        <f t="shared" si="5"/>
        <v>0.19146046972558328</v>
      </c>
      <c r="P151" s="18"/>
      <c r="Q151" s="4">
        <f>IFERROR(Q150/Q10, 0)</f>
        <v>7.6608933795901765E-2</v>
      </c>
    </row>
    <row r="152" spans="1:17" x14ac:dyDescent="0.3">
      <c r="A152" s="5"/>
      <c r="B152" s="6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x14ac:dyDescent="0.3">
      <c r="A153" s="25"/>
      <c r="B153" s="6" t="s">
        <v>125</v>
      </c>
      <c r="C153" s="6"/>
      <c r="D153" s="3">
        <v>145900.39000000001</v>
      </c>
      <c r="E153" s="3">
        <v>178664.08</v>
      </c>
      <c r="F153" s="3">
        <v>38257.19</v>
      </c>
      <c r="G153" s="3">
        <v>54319.89</v>
      </c>
      <c r="H153" s="3">
        <v>58830.74</v>
      </c>
      <c r="I153" s="3">
        <v>81077.320000000007</v>
      </c>
      <c r="J153" s="3">
        <v>247144</v>
      </c>
      <c r="K153" s="3">
        <v>54653</v>
      </c>
      <c r="L153" s="3">
        <v>52960</v>
      </c>
      <c r="M153" s="3">
        <v>80452</v>
      </c>
      <c r="N153" s="3">
        <v>104726</v>
      </c>
      <c r="O153" s="3">
        <v>-69503</v>
      </c>
      <c r="Q153" s="2">
        <f>SUM(OSRRefD28_0x)+IFERROR(SUM(OSRRefE28_0x),0)</f>
        <v>1027481.61</v>
      </c>
    </row>
    <row r="154" spans="1:17" x14ac:dyDescent="0.3">
      <c r="A154" s="5"/>
      <c r="B154" s="6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</row>
    <row r="155" spans="1:17" s="15" customFormat="1" ht="15" thickBot="1" x14ac:dyDescent="0.35">
      <c r="A155" s="6"/>
      <c r="B155" s="17" t="s">
        <v>124</v>
      </c>
      <c r="C155" s="17"/>
      <c r="D155" s="8">
        <f t="shared" ref="D155:O155" si="6">IFERROR(+D150-D153, 0)</f>
        <v>-380369.54999999993</v>
      </c>
      <c r="E155" s="8">
        <f t="shared" si="6"/>
        <v>185914.06000000014</v>
      </c>
      <c r="F155" s="8">
        <f t="shared" si="6"/>
        <v>93660.450000000012</v>
      </c>
      <c r="G155" s="8">
        <f t="shared" si="6"/>
        <v>-125115.47999999997</v>
      </c>
      <c r="H155" s="8">
        <f t="shared" si="6"/>
        <v>-115695.69999999995</v>
      </c>
      <c r="I155" s="8">
        <f t="shared" si="6"/>
        <v>-101655.92999999998</v>
      </c>
      <c r="J155" s="8">
        <f t="shared" si="6"/>
        <v>26711.632070656167</v>
      </c>
      <c r="K155" s="8">
        <f t="shared" si="6"/>
        <v>82896.285794874915</v>
      </c>
      <c r="L155" s="8">
        <f t="shared" si="6"/>
        <v>-67981.632666625082</v>
      </c>
      <c r="M155" s="8">
        <f t="shared" si="6"/>
        <v>-172305.79096984386</v>
      </c>
      <c r="N155" s="8">
        <f t="shared" si="6"/>
        <v>141189.46549037495</v>
      </c>
      <c r="O155" s="8">
        <f t="shared" si="6"/>
        <v>144327.85763392493</v>
      </c>
      <c r="Q155" s="8">
        <f>IFERROR(+Q150-Q153, 0)</f>
        <v>-288424.3326466392</v>
      </c>
    </row>
    <row r="156" spans="1:17" ht="15" thickTop="1" x14ac:dyDescent="0.3">
      <c r="A156" s="5"/>
      <c r="B156" s="5"/>
      <c r="C156" s="5"/>
      <c r="D156" s="4">
        <f t="shared" ref="D156:O156" si="7">IFERROR(D155/D10, 0)</f>
        <v>-1.2044461871540024</v>
      </c>
      <c r="E156" s="4">
        <f t="shared" si="7"/>
        <v>0.10016014606263939</v>
      </c>
      <c r="F156" s="4">
        <f t="shared" si="7"/>
        <v>0.12334899201271045</v>
      </c>
      <c r="G156" s="4">
        <f t="shared" si="7"/>
        <v>-0.1846822203389557</v>
      </c>
      <c r="H156" s="4">
        <f t="shared" si="7"/>
        <v>-0.29874976966750305</v>
      </c>
      <c r="I156" s="4">
        <f t="shared" si="7"/>
        <v>-0.16090777843925769</v>
      </c>
      <c r="J156" s="4">
        <f t="shared" si="7"/>
        <v>1.2269414586095009E-2</v>
      </c>
      <c r="K156" s="4">
        <f t="shared" si="7"/>
        <v>0.12665202865439545</v>
      </c>
      <c r="L156" s="4">
        <f t="shared" si="7"/>
        <v>-0.14488252322822623</v>
      </c>
      <c r="M156" s="4">
        <f t="shared" si="7"/>
        <v>-0.30803435096830706</v>
      </c>
      <c r="N156" s="4">
        <f t="shared" si="7"/>
        <v>0.18375694572437129</v>
      </c>
      <c r="O156" s="4">
        <f t="shared" si="7"/>
        <v>0.36930346800352326</v>
      </c>
      <c r="P156" s="18"/>
      <c r="Q156" s="4">
        <f>IFERROR(Q155/Q10, 0)</f>
        <v>-2.9897385875126116E-2</v>
      </c>
    </row>
    <row r="157" spans="1:17" x14ac:dyDescent="0.3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x14ac:dyDescent="0.3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s="15" customFormat="1" ht="15" thickBot="1" x14ac:dyDescent="0.35">
      <c r="A159" s="6"/>
      <c r="B159" s="17" t="s">
        <v>294</v>
      </c>
      <c r="C159" s="17"/>
      <c r="D159" s="8">
        <f t="shared" ref="D159:O159" si="8">IFERROR(SUM(D155:D158), 0)</f>
        <v>-380370.75444618706</v>
      </c>
      <c r="E159" s="8">
        <f t="shared" si="8"/>
        <v>185914.16016014622</v>
      </c>
      <c r="F159" s="8">
        <f t="shared" si="8"/>
        <v>93660.573348992024</v>
      </c>
      <c r="G159" s="8">
        <f t="shared" si="8"/>
        <v>-125115.6646822203</v>
      </c>
      <c r="H159" s="8">
        <f t="shared" si="8"/>
        <v>-115695.99874976963</v>
      </c>
      <c r="I159" s="8">
        <f t="shared" si="8"/>
        <v>-101656.09090777842</v>
      </c>
      <c r="J159" s="8">
        <f t="shared" si="8"/>
        <v>26711.644340070754</v>
      </c>
      <c r="K159" s="8">
        <f t="shared" si="8"/>
        <v>82896.412446903574</v>
      </c>
      <c r="L159" s="8">
        <f t="shared" si="8"/>
        <v>-67981.777549148304</v>
      </c>
      <c r="M159" s="8">
        <f t="shared" si="8"/>
        <v>-172306.09900419484</v>
      </c>
      <c r="N159" s="8">
        <f t="shared" si="8"/>
        <v>141189.64924732066</v>
      </c>
      <c r="O159" s="8">
        <f t="shared" si="8"/>
        <v>144328.22693739293</v>
      </c>
      <c r="Q159" s="8">
        <f>IFERROR(SUM(Q155:Q158), 0)</f>
        <v>-288424.36254402506</v>
      </c>
    </row>
    <row r="160" spans="1:17" ht="15" thickTop="1" x14ac:dyDescent="0.3">
      <c r="A160" s="5"/>
      <c r="C160" s="5"/>
      <c r="D160" s="4">
        <f t="shared" ref="D160:O160" si="9">IFERROR(D159/D10, 0)</f>
        <v>-1.2044500010518755</v>
      </c>
      <c r="E160" s="4">
        <f t="shared" si="9"/>
        <v>0.10016020002335037</v>
      </c>
      <c r="F160" s="4">
        <f t="shared" si="9"/>
        <v>0.1233491544609352</v>
      </c>
      <c r="G160" s="4">
        <f t="shared" si="9"/>
        <v>-0.18468249294728931</v>
      </c>
      <c r="H160" s="4">
        <f t="shared" si="9"/>
        <v>-0.29875054110001853</v>
      </c>
      <c r="I160" s="4">
        <f t="shared" si="9"/>
        <v>-0.16090803313480928</v>
      </c>
      <c r="J160" s="4">
        <f t="shared" si="9"/>
        <v>1.2269420221787125E-2</v>
      </c>
      <c r="K160" s="4">
        <f t="shared" si="9"/>
        <v>0.12665222215807551</v>
      </c>
      <c r="L160" s="4">
        <f t="shared" si="9"/>
        <v>-0.14488283200200397</v>
      </c>
      <c r="M160" s="4">
        <f t="shared" si="9"/>
        <v>-0.30803490164719516</v>
      </c>
      <c r="N160" s="4">
        <f t="shared" si="9"/>
        <v>0.18375718488254772</v>
      </c>
      <c r="O160" s="4">
        <f t="shared" si="9"/>
        <v>0.36930441297044592</v>
      </c>
      <c r="P160" s="18"/>
      <c r="Q160" s="4">
        <f>IFERROR(Q159/Q10, 0)</f>
        <v>-2.9897388974218599E-2</v>
      </c>
    </row>
    <row r="161" spans="1:17" x14ac:dyDescent="0.3">
      <c r="A161" s="5"/>
      <c r="B161" s="28">
        <v>44575.850681944445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3">
      <c r="A162" s="5"/>
      <c r="B162" s="26" t="s">
        <v>54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3">
      <c r="A163" s="5"/>
      <c r="B163" s="31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  <row r="164" spans="1:17" x14ac:dyDescent="0.3"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Q16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","301", " - ", "Bookstore Operations")</f>
        <v>Department 301 - Bookstore Operations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">
      <c r="A12" s="23"/>
      <c r="B12" s="16" t="s">
        <v>218</v>
      </c>
      <c r="C12" s="22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SUM(OSRRefE14x_0)</f>
        <v>0</v>
      </c>
      <c r="K12" s="3">
        <f>SUM(OSRRefE14x_1)</f>
        <v>0</v>
      </c>
      <c r="L12" s="3">
        <f>SUM(OSRRefE14x_2)</f>
        <v>0</v>
      </c>
      <c r="M12" s="3">
        <f>SUM(OSRRefE14x_3)</f>
        <v>0</v>
      </c>
      <c r="N12" s="3">
        <f>SUM(OSRRefE14x_4)</f>
        <v>0</v>
      </c>
      <c r="O12" s="3">
        <f>SUM(OSRRefE14x_5)</f>
        <v>0</v>
      </c>
      <c r="Q12" s="3">
        <f>SUM(OSRRefG14x)</f>
        <v>0</v>
      </c>
    </row>
    <row r="13" spans="1:18" s="9" customFormat="1" hidden="1" outlineLevel="1" x14ac:dyDescent="0.3">
      <c r="A13" s="23"/>
      <c r="B13" s="10" t="str">
        <f>CONCATENATE("          ","5000", " - ","PURCHASES @ COST")</f>
        <v xml:space="preserve">          5000 - PURCHASES @ COST</v>
      </c>
      <c r="C13" s="22"/>
      <c r="D13" s="2"/>
      <c r="E13" s="2"/>
      <c r="F13" s="2"/>
      <c r="G13" s="2">
        <v>0</v>
      </c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7">
        <f t="shared" ref="D15:O15" si="1">IFERROR(+D10-D12, 0)</f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0</v>
      </c>
    </row>
    <row r="16" spans="1:18" s="6" customFormat="1" x14ac:dyDescent="0.3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179674.92</v>
      </c>
      <c r="E18" s="12">
        <f>SUM(OSRRefD20x_1)</f>
        <v>166653.48999999996</v>
      </c>
      <c r="F18" s="12">
        <f>SUM(OSRRefD20x_2)</f>
        <v>128055.81</v>
      </c>
      <c r="G18" s="12">
        <f>SUM(OSRRefD20x_3)</f>
        <v>146275.69999999998</v>
      </c>
      <c r="H18" s="12">
        <f>SUM(OSRRefD20x_4)</f>
        <v>124679.03000000001</v>
      </c>
      <c r="I18" s="12">
        <f>SUM(OSRRefD20x_5)</f>
        <v>117030.11000000002</v>
      </c>
      <c r="J18" s="12">
        <f>SUM(OSRRefE20x_0)</f>
        <v>195158.94616613461</v>
      </c>
      <c r="K18" s="12">
        <f>SUM(OSRRefE20x_1)</f>
        <v>124719.39756975768</v>
      </c>
      <c r="L18" s="12">
        <f>SUM(OSRRefE20x_2)</f>
        <v>97098.833013257681</v>
      </c>
      <c r="M18" s="12">
        <f>SUM(OSRRefE20x_3)</f>
        <v>97498.31055213463</v>
      </c>
      <c r="N18" s="12">
        <f>SUM(OSRRefE20x_4)</f>
        <v>96174.098725757678</v>
      </c>
      <c r="O18" s="12">
        <f>SUM(OSRRefE20x_5)</f>
        <v>84563.498496557688</v>
      </c>
      <c r="Q18" s="12">
        <f>SUM(OSRRefG20x)</f>
        <v>1557582.1445236001</v>
      </c>
    </row>
    <row r="19" spans="1:17" s="35" customFormat="1" collapsed="1" x14ac:dyDescent="0.3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13023.77</v>
      </c>
      <c r="E19" s="1">
        <f>SUM(OSRRefD21_0x_1)</f>
        <v>15087.93</v>
      </c>
      <c r="F19" s="1">
        <f>SUM(OSRRefD21_0x_2)</f>
        <v>12772.51</v>
      </c>
      <c r="G19" s="1">
        <f>SUM(OSRRefD21_0x_3)</f>
        <v>17082.93</v>
      </c>
      <c r="H19" s="1">
        <f>SUM(OSRRefD21_0x_4)</f>
        <v>13803.459999999997</v>
      </c>
      <c r="I19" s="1">
        <f>SUM(OSRRefD21_0x_5)</f>
        <v>13685.689999999999</v>
      </c>
      <c r="J19" s="1">
        <f>SUM(OSRRefE21_0x_0)</f>
        <v>8005.9160257500062</v>
      </c>
      <c r="K19" s="1">
        <f>SUM(OSRRefE21_0x_1)</f>
        <v>4668.9925524500004</v>
      </c>
      <c r="L19" s="1">
        <f>SUM(OSRRefE21_0x_2)</f>
        <v>4325.3214459499968</v>
      </c>
      <c r="M19" s="1">
        <f>SUM(OSRRefE21_0x_3)</f>
        <v>5268.8986117500071</v>
      </c>
      <c r="N19" s="1">
        <f>SUM(OSRRefE21_0x_4)</f>
        <v>4556.9109084499969</v>
      </c>
      <c r="O19" s="1">
        <f>SUM(OSRRefE21_0x_5)</f>
        <v>5486.4016542499958</v>
      </c>
      <c r="Q19" s="2">
        <f>SUM(OSRRefD20_0x)+IFERROR(SUM(OSRRefE20_0x),0)</f>
        <v>117768.7311986</v>
      </c>
    </row>
    <row r="20" spans="1:17" s="35" customFormat="1" hidden="1" outlineLevel="1" x14ac:dyDescent="0.3">
      <c r="A20" s="34"/>
      <c r="B20" s="10" t="str">
        <f>CONCATENATE("          ","6111", " - ","F.I.C.A.")</f>
        <v xml:space="preserve">          6111 - F.I.C.A.</v>
      </c>
      <c r="C20" s="14"/>
      <c r="D20" s="2">
        <v>3019.49</v>
      </c>
      <c r="E20" s="2">
        <v>4189.24</v>
      </c>
      <c r="F20" s="2">
        <v>2271.34</v>
      </c>
      <c r="G20" s="2">
        <v>3010.31</v>
      </c>
      <c r="H20" s="2">
        <v>1945.46</v>
      </c>
      <c r="I20" s="2">
        <v>2010.69</v>
      </c>
      <c r="J20" s="2">
        <v>1250.93377188462</v>
      </c>
      <c r="K20" s="2">
        <v>1000.74701750769</v>
      </c>
      <c r="L20" s="2">
        <v>1000.74701750769</v>
      </c>
      <c r="M20" s="2">
        <v>1250.93377188462</v>
      </c>
      <c r="N20" s="2">
        <v>1000.74701750769</v>
      </c>
      <c r="O20" s="2">
        <v>2243.8341390576902</v>
      </c>
      <c r="P20" s="9"/>
      <c r="Q20" s="2">
        <f>SUM(OSRRefD21_0_0x)+IFERROR(SUM(OSRRefE21_0_0x),0)</f>
        <v>24194.472735349998</v>
      </c>
    </row>
    <row r="21" spans="1:17" s="35" customFormat="1" hidden="1" outlineLevel="1" x14ac:dyDescent="0.3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605.14</v>
      </c>
      <c r="E21" s="2">
        <v>854.3</v>
      </c>
      <c r="F21" s="2">
        <v>848.92</v>
      </c>
      <c r="G21" s="2">
        <v>991.91</v>
      </c>
      <c r="H21" s="2">
        <v>587.38</v>
      </c>
      <c r="I21" s="2">
        <v>695.61</v>
      </c>
      <c r="J21" s="2">
        <v>1511.829039</v>
      </c>
      <c r="K21" s="2">
        <v>596.60226299999999</v>
      </c>
      <c r="L21" s="2">
        <v>484.206681</v>
      </c>
      <c r="M21" s="2">
        <v>616.703847</v>
      </c>
      <c r="N21" s="2">
        <v>559.94663100000002</v>
      </c>
      <c r="O21" s="2">
        <v>457.38681000000003</v>
      </c>
      <c r="P21" s="9"/>
      <c r="Q21" s="2">
        <f>SUM(OSRRefD21_0_1x)+IFERROR(SUM(OSRRefE21_0_1x),0)</f>
        <v>8809.9352710000003</v>
      </c>
    </row>
    <row r="22" spans="1:17" s="35" customFormat="1" hidden="1" outlineLevel="1" x14ac:dyDescent="0.3">
      <c r="A22" s="34"/>
      <c r="B22" s="10" t="str">
        <f>CONCATENATE("          ","6113", " - ","GROUP INSURANCE")</f>
        <v xml:space="preserve">          6113 - GROUP INSURANCE</v>
      </c>
      <c r="C22" s="14"/>
      <c r="D22" s="2">
        <v>5081.28</v>
      </c>
      <c r="E22" s="2">
        <v>5081.28</v>
      </c>
      <c r="F22" s="2">
        <v>4982.24</v>
      </c>
      <c r="G22" s="2">
        <v>5751.68</v>
      </c>
      <c r="H22" s="2">
        <v>5752.3</v>
      </c>
      <c r="I22" s="2">
        <v>5752.3</v>
      </c>
      <c r="J22" s="2">
        <v>1456</v>
      </c>
      <c r="K22" s="2">
        <v>1303</v>
      </c>
      <c r="L22" s="2">
        <v>1303</v>
      </c>
      <c r="M22" s="2">
        <v>1456</v>
      </c>
      <c r="N22" s="2">
        <v>1303</v>
      </c>
      <c r="O22" s="2">
        <v>1303</v>
      </c>
      <c r="P22" s="9"/>
      <c r="Q22" s="2">
        <f>SUM(OSRRefD21_0_2x)+IFERROR(SUM(OSRRefE21_0_2x),0)</f>
        <v>40525.08</v>
      </c>
    </row>
    <row r="23" spans="1:17" s="35" customFormat="1" hidden="1" outlineLevel="1" x14ac:dyDescent="0.3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109.65</v>
      </c>
      <c r="E23" s="2">
        <v>153.36000000000001</v>
      </c>
      <c r="F23" s="2">
        <v>150.62</v>
      </c>
      <c r="G23" s="2">
        <v>176.48</v>
      </c>
      <c r="H23" s="2">
        <v>104.73</v>
      </c>
      <c r="I23" s="2">
        <v>123.73</v>
      </c>
      <c r="J23" s="2">
        <v>203.515447557692</v>
      </c>
      <c r="K23" s="2">
        <v>80.311843096153794</v>
      </c>
      <c r="L23" s="2">
        <v>65.181668596153798</v>
      </c>
      <c r="M23" s="2">
        <v>83.017825557692305</v>
      </c>
      <c r="N23" s="2">
        <v>75.377431096153799</v>
      </c>
      <c r="O23" s="2">
        <v>61.571301346153803</v>
      </c>
      <c r="P23" s="9"/>
      <c r="Q23" s="2">
        <f>SUM(OSRRefD21_0_3x)+IFERROR(SUM(OSRRefE21_0_3x),0)</f>
        <v>1387.5455172499996</v>
      </c>
    </row>
    <row r="24" spans="1:17" s="35" customFormat="1" hidden="1" outlineLevel="1" x14ac:dyDescent="0.3">
      <c r="A24" s="34"/>
      <c r="B24" s="10" t="str">
        <f>CONCATENATE("          ","6115", " - ","P.E.R.S.")</f>
        <v xml:space="preserve">          6115 - P.E.R.S.</v>
      </c>
      <c r="C24" s="14"/>
      <c r="D24" s="2">
        <v>1518.86</v>
      </c>
      <c r="E24" s="2">
        <v>1518.86</v>
      </c>
      <c r="F24" s="2">
        <v>1518.86</v>
      </c>
      <c r="G24" s="2">
        <v>2278.2800000000002</v>
      </c>
      <c r="H24" s="2">
        <v>1579.6</v>
      </c>
      <c r="I24" s="2">
        <v>1579.6</v>
      </c>
      <c r="J24" s="2">
        <v>468.45192307692298</v>
      </c>
      <c r="K24" s="2">
        <v>374.76153846153801</v>
      </c>
      <c r="L24" s="2">
        <v>374.76153846153801</v>
      </c>
      <c r="M24" s="2">
        <v>468.45192307692298</v>
      </c>
      <c r="N24" s="2">
        <v>374.76153846153801</v>
      </c>
      <c r="O24" s="2">
        <v>374.76153846153801</v>
      </c>
      <c r="P24" s="9"/>
      <c r="Q24" s="2">
        <f>SUM(OSRRefD21_0_4x)+IFERROR(SUM(OSRRefE21_0_4x),0)</f>
        <v>12430.009999999998</v>
      </c>
    </row>
    <row r="25" spans="1:17" s="35" customFormat="1" hidden="1" outlineLevel="1" x14ac:dyDescent="0.3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3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299.24</v>
      </c>
      <c r="E26" s="2">
        <v>430.36</v>
      </c>
      <c r="F26" s="2">
        <v>233.16</v>
      </c>
      <c r="G26" s="2">
        <v>304.70999999999998</v>
      </c>
      <c r="H26" s="2">
        <v>313.81</v>
      </c>
      <c r="I26" s="2">
        <v>305.18</v>
      </c>
      <c r="J26" s="2"/>
      <c r="K26" s="2"/>
      <c r="L26" s="2"/>
      <c r="M26" s="2"/>
      <c r="N26" s="2"/>
      <c r="O26" s="2"/>
      <c r="P26" s="9"/>
      <c r="Q26" s="2">
        <f>SUM(OSRRefD21_0_6x)+IFERROR(SUM(OSRRefE21_0_6x),0)</f>
        <v>1886.46</v>
      </c>
    </row>
    <row r="27" spans="1:17" s="35" customFormat="1" hidden="1" outlineLevel="1" x14ac:dyDescent="0.3">
      <c r="A27" s="34"/>
      <c r="B27" s="10" t="str">
        <f>CONCATENATE("          ","6118", " - ","VACATION")</f>
        <v xml:space="preserve">          6118 - VACATION</v>
      </c>
      <c r="C27" s="14"/>
      <c r="D27" s="2">
        <v>1168.29</v>
      </c>
      <c r="E27" s="2">
        <v>1367.23</v>
      </c>
      <c r="F27" s="2">
        <v>1147.9100000000001</v>
      </c>
      <c r="G27" s="2">
        <v>1928.32</v>
      </c>
      <c r="H27" s="2">
        <v>1623.97</v>
      </c>
      <c r="I27" s="2">
        <v>1450.87</v>
      </c>
      <c r="J27" s="2">
        <v>311.733461538462</v>
      </c>
      <c r="K27" s="2">
        <v>249.386769230769</v>
      </c>
      <c r="L27" s="2">
        <v>249.386769230769</v>
      </c>
      <c r="M27" s="2">
        <v>311.733461538462</v>
      </c>
      <c r="N27" s="2">
        <v>249.386769230769</v>
      </c>
      <c r="O27" s="2">
        <v>249.386769230769</v>
      </c>
      <c r="P27" s="9"/>
      <c r="Q27" s="2">
        <f>SUM(OSRRefD21_0_7x)+IFERROR(SUM(OSRRefE21_0_7x),0)</f>
        <v>10307.603999999999</v>
      </c>
    </row>
    <row r="28" spans="1:17" s="35" customFormat="1" hidden="1" outlineLevel="1" x14ac:dyDescent="0.3">
      <c r="A28" s="34"/>
      <c r="B28" s="10" t="str">
        <f>CONCATENATE("          ","6119", " - ","SICK LEAVE")</f>
        <v xml:space="preserve">          6119 - SICK LEAVE</v>
      </c>
      <c r="C28" s="14"/>
      <c r="D28" s="2">
        <v>955.23</v>
      </c>
      <c r="E28" s="2">
        <v>955.23</v>
      </c>
      <c r="F28" s="2">
        <v>1139.6300000000001</v>
      </c>
      <c r="G28" s="2">
        <v>1619.13</v>
      </c>
      <c r="H28" s="2">
        <v>1115.22</v>
      </c>
      <c r="I28" s="2">
        <v>1115.22</v>
      </c>
      <c r="J28" s="2">
        <v>2803.45238269231</v>
      </c>
      <c r="K28" s="2">
        <v>1064.1831211538499</v>
      </c>
      <c r="L28" s="2">
        <v>848.03777115384605</v>
      </c>
      <c r="M28" s="2">
        <v>1082.05778269231</v>
      </c>
      <c r="N28" s="2">
        <v>993.691521153846</v>
      </c>
      <c r="O28" s="2">
        <v>796.46109615384603</v>
      </c>
      <c r="P28" s="9"/>
      <c r="Q28" s="2">
        <f>SUM(OSRRefD21_0_8x)+IFERROR(SUM(OSRRefE21_0_8x),0)</f>
        <v>14487.543675000008</v>
      </c>
    </row>
    <row r="29" spans="1:17" s="35" customFormat="1" hidden="1" outlineLevel="1" x14ac:dyDescent="0.3">
      <c r="A29" s="34"/>
      <c r="B29" s="10" t="str">
        <f>CONCATENATE("          ","6156", " - ","EMPLOYEE MEALS")</f>
        <v xml:space="preserve">          6156 - EMPLOYEE MEALS</v>
      </c>
      <c r="C29" s="14"/>
      <c r="D29" s="2">
        <v>266.58999999999997</v>
      </c>
      <c r="E29" s="2">
        <v>538.07000000000005</v>
      </c>
      <c r="F29" s="2">
        <v>479.83</v>
      </c>
      <c r="G29" s="2">
        <v>1022.11</v>
      </c>
      <c r="H29" s="2">
        <v>780.99</v>
      </c>
      <c r="I29" s="2">
        <v>652.49</v>
      </c>
      <c r="J29" s="2"/>
      <c r="K29" s="2"/>
      <c r="L29" s="2"/>
      <c r="M29" s="2"/>
      <c r="N29" s="2"/>
      <c r="O29" s="2"/>
      <c r="P29" s="9"/>
      <c r="Q29" s="2">
        <f>SUM(OSRRefD21_0_9x)+IFERROR(SUM(OSRRefE21_0_9x),0)</f>
        <v>3740.08</v>
      </c>
    </row>
    <row r="30" spans="1:17" s="35" customFormat="1" collapsed="1" x14ac:dyDescent="0.3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55192.97</v>
      </c>
      <c r="E30" s="1">
        <f>SUM(OSRRefD21_1x_1)</f>
        <v>64285.560000000005</v>
      </c>
      <c r="F30" s="1">
        <f>SUM(OSRRefD21_1x_2)</f>
        <v>52654.07</v>
      </c>
      <c r="G30" s="1">
        <f>SUM(OSRRefD21_1x_3)</f>
        <v>52591.170000000006</v>
      </c>
      <c r="H30" s="1">
        <f>SUM(OSRRefD21_1x_4)</f>
        <v>39015.51</v>
      </c>
      <c r="I30" s="1">
        <f>SUM(OSRRefD21_1x_5)</f>
        <v>47876.54</v>
      </c>
      <c r="J30" s="1">
        <f>SUM(OSRRefE21_1x_0)</f>
        <v>97069.030140384624</v>
      </c>
      <c r="K30" s="1">
        <f>SUM(OSRRefE21_1x_1)</f>
        <v>37976.40501730769</v>
      </c>
      <c r="L30" s="1">
        <f>SUM(OSRRefE21_1x_2)</f>
        <v>30699.511567307687</v>
      </c>
      <c r="M30" s="1">
        <f>SUM(OSRRefE21_1x_3)</f>
        <v>39115.41194038462</v>
      </c>
      <c r="N30" s="1">
        <f>SUM(OSRRefE21_1x_4)</f>
        <v>35603.187817307691</v>
      </c>
      <c r="O30" s="1">
        <f>SUM(OSRRefE21_1x_5)</f>
        <v>28963.096842307692</v>
      </c>
      <c r="Q30" s="2">
        <f>SUM(OSRRefD20_1x)+IFERROR(SUM(OSRRefE20_1x),0)</f>
        <v>581042.46332500002</v>
      </c>
    </row>
    <row r="31" spans="1:17" s="35" customFormat="1" hidden="1" outlineLevel="1" x14ac:dyDescent="0.3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4926.78</v>
      </c>
      <c r="H31" s="2">
        <v>4192.43</v>
      </c>
      <c r="I31" s="2">
        <v>4658.26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55243.519999999997</v>
      </c>
    </row>
    <row r="32" spans="1:17" s="35" customFormat="1" hidden="1" outlineLevel="1" x14ac:dyDescent="0.3">
      <c r="A32" s="34"/>
      <c r="B32" s="10" t="str">
        <f>CONCATENATE("          ","6002", " - ","STAFF SALARIES")</f>
        <v xml:space="preserve">          6002 - STAFF SALARIES</v>
      </c>
      <c r="C32" s="14"/>
      <c r="D32" s="2">
        <v>13415.64</v>
      </c>
      <c r="E32" s="2">
        <v>8600.02</v>
      </c>
      <c r="F32" s="2">
        <v>10923.1</v>
      </c>
      <c r="G32" s="2">
        <v>10853.65</v>
      </c>
      <c r="H32" s="2">
        <v>10400.02</v>
      </c>
      <c r="I32" s="2">
        <v>11360.02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65552.450000000012</v>
      </c>
    </row>
    <row r="33" spans="1:17" s="35" customFormat="1" hidden="1" outlineLevel="1" x14ac:dyDescent="0.3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">
      <c r="A34" s="34"/>
      <c r="B34" s="10" t="str">
        <f>CONCATENATE("          ","6004", " - ","STAFF HOURLY")</f>
        <v xml:space="preserve">          6004 - STAFF HOURLY</v>
      </c>
      <c r="C34" s="14"/>
      <c r="D34" s="2">
        <v>3554.5</v>
      </c>
      <c r="E34" s="2">
        <v>4938.75</v>
      </c>
      <c r="F34" s="2">
        <v>8141.26</v>
      </c>
      <c r="G34" s="2">
        <v>10880.02</v>
      </c>
      <c r="H34" s="2">
        <v>7599.34</v>
      </c>
      <c r="I34" s="2">
        <v>7509.18</v>
      </c>
      <c r="J34" s="2">
        <v>10522.1535</v>
      </c>
      <c r="K34" s="2">
        <v>8417.7227999999996</v>
      </c>
      <c r="L34" s="2">
        <v>8417.7227999999996</v>
      </c>
      <c r="M34" s="2">
        <v>10522.1535</v>
      </c>
      <c r="N34" s="2">
        <v>8417.7227999999996</v>
      </c>
      <c r="O34" s="2">
        <v>8417.7227999999996</v>
      </c>
      <c r="P34" s="9"/>
      <c r="Q34" s="2">
        <f>SUM(OSRRefD21_1_3x)+IFERROR(SUM(OSRRefE21_1_3x),0)</f>
        <v>97338.248200000002</v>
      </c>
    </row>
    <row r="35" spans="1:17" s="35" customFormat="1" hidden="1" outlineLevel="1" x14ac:dyDescent="0.3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2204.2399999999998</v>
      </c>
      <c r="E35" s="2">
        <v>3175.05</v>
      </c>
      <c r="F35" s="2">
        <v>3945.26</v>
      </c>
      <c r="G35" s="2">
        <v>4541.66</v>
      </c>
      <c r="H35" s="2">
        <v>1976.27</v>
      </c>
      <c r="I35" s="2">
        <v>2095.19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17937.669999999998</v>
      </c>
    </row>
    <row r="36" spans="1:17" s="35" customFormat="1" hidden="1" outlineLevel="1" x14ac:dyDescent="0.3">
      <c r="A36" s="34"/>
      <c r="B36" s="10" t="str">
        <f>CONCATENATE("          ","6006", " - ","TEMPORARY PART TIME")</f>
        <v xml:space="preserve">          6006 - TEMPORARY PART TIME</v>
      </c>
      <c r="C36" s="14"/>
      <c r="D36" s="2">
        <v>2864.4</v>
      </c>
      <c r="E36" s="2">
        <v>3273.79</v>
      </c>
      <c r="F36" s="2">
        <v>2957.46</v>
      </c>
      <c r="G36" s="2">
        <v>781.97</v>
      </c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9877.6200000000008</v>
      </c>
    </row>
    <row r="37" spans="1:17" s="35" customFormat="1" hidden="1" outlineLevel="1" x14ac:dyDescent="0.3">
      <c r="A37" s="34"/>
      <c r="B37" s="10" t="str">
        <f>CONCATENATE("          ","6007", " - ","STUDENT HOURLY")</f>
        <v xml:space="preserve">          6007 - STUDENT HOURLY</v>
      </c>
      <c r="C37" s="14"/>
      <c r="D37" s="2">
        <v>25588.93</v>
      </c>
      <c r="E37" s="2">
        <v>36397.11</v>
      </c>
      <c r="F37" s="2">
        <v>20168.580000000002</v>
      </c>
      <c r="G37" s="2">
        <v>18702.11</v>
      </c>
      <c r="H37" s="2">
        <v>14386.71</v>
      </c>
      <c r="I37" s="2">
        <v>21435.59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16405.566350000001</v>
      </c>
      <c r="P37" s="9"/>
      <c r="Q37" s="2">
        <f>SUM(OSRRefD21_1_6x)+IFERROR(SUM(OSRRefE21_1_6x),0)</f>
        <v>153084.59635000001</v>
      </c>
    </row>
    <row r="38" spans="1:17" s="35" customFormat="1" hidden="1" outlineLevel="1" x14ac:dyDescent="0.3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>
        <v>1966.16</v>
      </c>
      <c r="E38" s="2">
        <v>3421.74</v>
      </c>
      <c r="F38" s="2">
        <v>2039.31</v>
      </c>
      <c r="G38" s="2">
        <v>1904.98</v>
      </c>
      <c r="H38" s="2">
        <v>460.74</v>
      </c>
      <c r="I38" s="2">
        <v>818.3</v>
      </c>
      <c r="J38" s="2">
        <v>81372.117025</v>
      </c>
      <c r="K38" s="2">
        <v>25418.874524999999</v>
      </c>
      <c r="L38" s="2">
        <v>18141.981075</v>
      </c>
      <c r="M38" s="2">
        <v>23418.498824999999</v>
      </c>
      <c r="N38" s="2">
        <v>23045.657325</v>
      </c>
      <c r="O38" s="2">
        <v>0</v>
      </c>
      <c r="P38" s="9"/>
      <c r="Q38" s="2">
        <f>SUM(OSRRefD21_1_7x)+IFERROR(SUM(OSRRefE21_1_7x),0)</f>
        <v>182008.35877500003</v>
      </c>
    </row>
    <row r="39" spans="1:17" s="35" customFormat="1" hidden="1" outlineLevel="1" x14ac:dyDescent="0.3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160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SUM(OSRRefE21_2x_0)</f>
        <v>0</v>
      </c>
      <c r="K41" s="1">
        <f>SUM(OSRRefE21_2x_1)</f>
        <v>0</v>
      </c>
      <c r="L41" s="1">
        <f>SUM(OSRRefE21_2x_2)</f>
        <v>0</v>
      </c>
      <c r="M41" s="1">
        <f>SUM(OSRRefE21_2x_3)</f>
        <v>0</v>
      </c>
      <c r="N41" s="1">
        <f>SUM(OSRRefE21_2x_4)</f>
        <v>0</v>
      </c>
      <c r="O41" s="1">
        <f>SUM(OSRRefE21_2x_5)</f>
        <v>0</v>
      </c>
      <c r="Q41" s="2">
        <f>SUM(OSRRefD20_2x)+IFERROR(SUM(OSRRefE20_2x),0)</f>
        <v>160</v>
      </c>
    </row>
    <row r="42" spans="1:17" s="35" customFormat="1" hidden="1" outlineLevel="1" x14ac:dyDescent="0.3">
      <c r="A42" s="34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160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2">
        <f>SUM(OSRRefD21_2_0x)+IFERROR(SUM(OSRRefE21_2_0x),0)</f>
        <v>160</v>
      </c>
    </row>
    <row r="43" spans="1:17" s="35" customFormat="1" collapsed="1" x14ac:dyDescent="0.3">
      <c r="A43" s="34"/>
      <c r="B43" s="14" t="str">
        <f>CONCATENATE("     ","Bad Debts/Over/Short                              ")</f>
        <v xml:space="preserve">     Bad Debts/Over/Short                              </v>
      </c>
      <c r="C43" s="14"/>
      <c r="D43" s="1">
        <f>SUM(OSRRefD21_3x_0)</f>
        <v>0.67</v>
      </c>
      <c r="E43" s="1">
        <f>SUM(OSRRefD21_3x_1)</f>
        <v>152.35</v>
      </c>
      <c r="F43" s="1">
        <f>SUM(OSRRefD21_3x_2)</f>
        <v>97.52</v>
      </c>
      <c r="G43" s="1">
        <f>SUM(OSRRefD21_3x_3)</f>
        <v>-20.8</v>
      </c>
      <c r="H43" s="1">
        <f>SUM(OSRRefD21_3x_4)</f>
        <v>-39.53</v>
      </c>
      <c r="I43" s="1">
        <f>SUM(OSRRefD21_3x_5)</f>
        <v>-23.67</v>
      </c>
      <c r="J43" s="1">
        <f>SUM(OSRRefE21_3x_0)</f>
        <v>200</v>
      </c>
      <c r="K43" s="1">
        <f>SUM(OSRRefE21_3x_1)</f>
        <v>200</v>
      </c>
      <c r="L43" s="1">
        <f>SUM(OSRRefE21_3x_2)</f>
        <v>200</v>
      </c>
      <c r="M43" s="1">
        <f>SUM(OSRRefE21_3x_3)</f>
        <v>200</v>
      </c>
      <c r="N43" s="1">
        <f>SUM(OSRRefE21_3x_4)</f>
        <v>200</v>
      </c>
      <c r="O43" s="1">
        <f>SUM(OSRRefE21_3x_5)</f>
        <v>200</v>
      </c>
      <c r="Q43" s="2">
        <f>SUM(OSRRefD20_3x)+IFERROR(SUM(OSRRefE20_3x),0)</f>
        <v>1366.54</v>
      </c>
    </row>
    <row r="44" spans="1:17" s="35" customFormat="1" hidden="1" outlineLevel="1" x14ac:dyDescent="0.3">
      <c r="A44" s="34"/>
      <c r="B44" s="10" t="str">
        <f>CONCATENATE("          ","6272", " - ","CASH (OVER/SHORT)")</f>
        <v xml:space="preserve">          6272 - CASH (OVER/SHORT)</v>
      </c>
      <c r="C44" s="14"/>
      <c r="D44" s="2">
        <v>0.67</v>
      </c>
      <c r="E44" s="2">
        <v>152.35</v>
      </c>
      <c r="F44" s="2">
        <v>97.52</v>
      </c>
      <c r="G44" s="2">
        <v>-20.8</v>
      </c>
      <c r="H44" s="2">
        <v>-39.53</v>
      </c>
      <c r="I44" s="2">
        <v>-23.67</v>
      </c>
      <c r="J44" s="2">
        <v>200</v>
      </c>
      <c r="K44" s="2">
        <v>200</v>
      </c>
      <c r="L44" s="2">
        <v>200</v>
      </c>
      <c r="M44" s="2">
        <v>200</v>
      </c>
      <c r="N44" s="2">
        <v>200</v>
      </c>
      <c r="O44" s="2">
        <v>200</v>
      </c>
      <c r="P44" s="9"/>
      <c r="Q44" s="2">
        <f>SUM(OSRRefD21_3_0x)+IFERROR(SUM(OSRRefE21_3_0x),0)</f>
        <v>1366.54</v>
      </c>
    </row>
    <row r="45" spans="1:17" s="35" customFormat="1" collapsed="1" x14ac:dyDescent="0.3">
      <c r="A45" s="34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SUM(OSRRefD21_4x_0)</f>
        <v>3469.56</v>
      </c>
      <c r="E45" s="1">
        <f>SUM(OSRRefD21_4x_1)</f>
        <v>22388.61</v>
      </c>
      <c r="F45" s="1">
        <f>SUM(OSRRefD21_4x_2)</f>
        <v>10228.540000000001</v>
      </c>
      <c r="G45" s="1">
        <f>SUM(OSRRefD21_4x_3)</f>
        <v>12320.84</v>
      </c>
      <c r="H45" s="1">
        <f>SUM(OSRRefD21_4x_4)</f>
        <v>7325.16</v>
      </c>
      <c r="I45" s="1">
        <f>SUM(OSRRefD21_4x_5)</f>
        <v>8159.3</v>
      </c>
      <c r="J45" s="1">
        <f>SUM(OSRRefE21_4x_0)</f>
        <v>34000</v>
      </c>
      <c r="K45" s="1">
        <f>SUM(OSRRefE21_4x_1)</f>
        <v>8000</v>
      </c>
      <c r="L45" s="1">
        <f>SUM(OSRRefE21_4x_2)</f>
        <v>6800</v>
      </c>
      <c r="M45" s="1">
        <f>SUM(OSRRefE21_4x_3)</f>
        <v>8000</v>
      </c>
      <c r="N45" s="1">
        <f>SUM(OSRRefE21_4x_4)</f>
        <v>12000</v>
      </c>
      <c r="O45" s="1">
        <f>SUM(OSRRefE21_4x_5)</f>
        <v>6000</v>
      </c>
      <c r="Q45" s="2">
        <f>SUM(OSRRefD20_4x)+IFERROR(SUM(OSRRefE20_4x),0)</f>
        <v>138692.01</v>
      </c>
    </row>
    <row r="46" spans="1:17" s="35" customFormat="1" hidden="1" outlineLevel="1" x14ac:dyDescent="0.3">
      <c r="A46" s="34"/>
      <c r="B46" s="10" t="str">
        <f>CONCATENATE("          ","6381", " - ","BANK/CREDIT CARD FEES")</f>
        <v xml:space="preserve">          6381 - BANK/CREDIT CARD FEES</v>
      </c>
      <c r="C46" s="14"/>
      <c r="D46" s="2">
        <v>3469.56</v>
      </c>
      <c r="E46" s="2">
        <v>22388.61</v>
      </c>
      <c r="F46" s="2">
        <v>10228.540000000001</v>
      </c>
      <c r="G46" s="2">
        <v>12320.84</v>
      </c>
      <c r="H46" s="2">
        <v>7325.16</v>
      </c>
      <c r="I46" s="2">
        <v>8159.3</v>
      </c>
      <c r="J46" s="2">
        <v>34000</v>
      </c>
      <c r="K46" s="2">
        <v>8000</v>
      </c>
      <c r="L46" s="2">
        <v>6800</v>
      </c>
      <c r="M46" s="2">
        <v>8000</v>
      </c>
      <c r="N46" s="2">
        <v>12000</v>
      </c>
      <c r="O46" s="2">
        <v>6000</v>
      </c>
      <c r="P46" s="9"/>
      <c r="Q46" s="2">
        <f>SUM(OSRRefD21_4_0x)+IFERROR(SUM(OSRRefE21_4_0x),0)</f>
        <v>138692.01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30550.800000000003</v>
      </c>
      <c r="E47" s="1">
        <f>SUM(OSRRefD21_5x_1)</f>
        <v>30550.800000000003</v>
      </c>
      <c r="F47" s="1">
        <f>SUM(OSRRefD21_5x_2)</f>
        <v>30550.800000000003</v>
      </c>
      <c r="G47" s="1">
        <f>SUM(OSRRefD21_5x_3)</f>
        <v>30444.98</v>
      </c>
      <c r="H47" s="1">
        <f>SUM(OSRRefD21_5x_4)</f>
        <v>30444.97</v>
      </c>
      <c r="I47" s="1">
        <f>SUM(OSRRefD21_5x_5)</f>
        <v>30444.959999999999</v>
      </c>
      <c r="J47" s="1">
        <f>SUM(OSRRefE21_5x_0)</f>
        <v>28059</v>
      </c>
      <c r="K47" s="1">
        <f>SUM(OSRRefE21_5x_1)</f>
        <v>27249</v>
      </c>
      <c r="L47" s="1">
        <f>SUM(OSRRefE21_5x_2)</f>
        <v>27249</v>
      </c>
      <c r="M47" s="1">
        <f>SUM(OSRRefE21_5x_3)</f>
        <v>16089</v>
      </c>
      <c r="N47" s="1">
        <f>SUM(OSRRefE21_5x_4)</f>
        <v>16089</v>
      </c>
      <c r="O47" s="1">
        <f>SUM(OSRRefE21_5x_5)</f>
        <v>16089</v>
      </c>
      <c r="Q47" s="2">
        <f>SUM(OSRRefD20_5x)+IFERROR(SUM(OSRRefE20_5x),0)</f>
        <v>313811.31</v>
      </c>
    </row>
    <row r="48" spans="1:17" s="35" customFormat="1" hidden="1" outlineLevel="1" x14ac:dyDescent="0.3">
      <c r="A48" s="34"/>
      <c r="B48" s="10" t="str">
        <f>CONCATENATE("          ","6321", " - ","BUILDING DEPRECIATION")</f>
        <v xml:space="preserve">          6321 - BUILDING DEPRECIATION</v>
      </c>
      <c r="C48" s="14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>
        <v>16396.509999999998</v>
      </c>
      <c r="J48" s="2"/>
      <c r="K48" s="2"/>
      <c r="L48" s="2"/>
      <c r="M48" s="2"/>
      <c r="N48" s="2"/>
      <c r="O48" s="2"/>
      <c r="P48" s="9"/>
      <c r="Q48" s="2">
        <f>SUM(OSRRefD21_5_0x)+IFERROR(SUM(OSRRefE21_5_0x),0)</f>
        <v>98379.11</v>
      </c>
    </row>
    <row r="49" spans="1:17" s="35" customFormat="1" hidden="1" outlineLevel="1" x14ac:dyDescent="0.3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14154.28</v>
      </c>
      <c r="E49" s="2">
        <v>14154.28</v>
      </c>
      <c r="F49" s="2">
        <v>14154.28</v>
      </c>
      <c r="G49" s="2">
        <v>14048.46</v>
      </c>
      <c r="H49" s="2">
        <v>14048.45</v>
      </c>
      <c r="I49" s="2">
        <v>14048.45</v>
      </c>
      <c r="J49" s="2">
        <v>28059</v>
      </c>
      <c r="K49" s="2">
        <v>27249</v>
      </c>
      <c r="L49" s="2">
        <v>27249</v>
      </c>
      <c r="M49" s="2">
        <v>16089</v>
      </c>
      <c r="N49" s="2">
        <v>16089</v>
      </c>
      <c r="O49" s="2">
        <v>16089</v>
      </c>
      <c r="P49" s="9"/>
      <c r="Q49" s="2">
        <f>SUM(OSRRefD21_5_1x)+IFERROR(SUM(OSRRefE21_5_1x),0)</f>
        <v>215432.2</v>
      </c>
    </row>
    <row r="50" spans="1:17" s="35" customFormat="1" collapsed="1" x14ac:dyDescent="0.3">
      <c r="A50" s="34"/>
      <c r="B50" s="14" t="str">
        <f>CONCATENATE("     ","Discounts and Markdowns                           ")</f>
        <v xml:space="preserve">     Discounts and Markdowns                           </v>
      </c>
      <c r="C50" s="14"/>
      <c r="D50" s="1">
        <f>SUM(OSRRefD21_6x_0)</f>
        <v>-0.68</v>
      </c>
      <c r="E50" s="1">
        <f>SUM(OSRRefD21_6x_1)</f>
        <v>-21.81</v>
      </c>
      <c r="F50" s="1">
        <f>SUM(OSRRefD21_6x_2)</f>
        <v>0</v>
      </c>
      <c r="G50" s="1">
        <f>SUM(OSRRefD21_6x_3)</f>
        <v>-0.21</v>
      </c>
      <c r="H50" s="1">
        <f>SUM(OSRRefD21_6x_4)</f>
        <v>3407.68</v>
      </c>
      <c r="I50" s="1">
        <f>SUM(OSRRefD21_6x_5)</f>
        <v>-1.29</v>
      </c>
      <c r="J50" s="1">
        <f>SUM(OSRRefE21_6x_0)</f>
        <v>0</v>
      </c>
      <c r="K50" s="1">
        <f>SUM(OSRRefE21_6x_1)</f>
        <v>0</v>
      </c>
      <c r="L50" s="1">
        <f>SUM(OSRRefE21_6x_2)</f>
        <v>0</v>
      </c>
      <c r="M50" s="1">
        <f>SUM(OSRRefE21_6x_3)</f>
        <v>0</v>
      </c>
      <c r="N50" s="1">
        <f>SUM(OSRRefE21_6x_4)</f>
        <v>0</v>
      </c>
      <c r="O50" s="1">
        <f>SUM(OSRRefE21_6x_5)</f>
        <v>0</v>
      </c>
      <c r="Q50" s="2">
        <f>SUM(OSRRefD20_6x)+IFERROR(SUM(OSRRefE20_6x),0)</f>
        <v>3383.69</v>
      </c>
    </row>
    <row r="51" spans="1:17" s="35" customFormat="1" hidden="1" outlineLevel="1" x14ac:dyDescent="0.3">
      <c r="A51" s="34"/>
      <c r="B51" s="10" t="str">
        <f>CONCATENATE("          ","6382", " - ","DISCOUNTS/MARK DOWNS")</f>
        <v xml:space="preserve">          6382 - DISCOUNTS/MARK DOWNS</v>
      </c>
      <c r="C51" s="14"/>
      <c r="D51" s="2"/>
      <c r="E51" s="2"/>
      <c r="F51" s="2"/>
      <c r="G51" s="2"/>
      <c r="H51" s="2">
        <v>3410</v>
      </c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3410</v>
      </c>
    </row>
    <row r="52" spans="1:17" s="35" customFormat="1" hidden="1" outlineLevel="1" x14ac:dyDescent="0.3">
      <c r="A52" s="34"/>
      <c r="B52" s="10" t="str">
        <f>CONCATENATE("          ","9175", " - ","EARNED DISCOUNTS")</f>
        <v xml:space="preserve">          9175 - EARNED DISCOUNTS</v>
      </c>
      <c r="C52" s="14"/>
      <c r="D52" s="2">
        <v>-0.68</v>
      </c>
      <c r="E52" s="2">
        <v>-21.81</v>
      </c>
      <c r="F52" s="2"/>
      <c r="G52" s="2">
        <v>-0.21</v>
      </c>
      <c r="H52" s="2">
        <v>-2.3199999999999998</v>
      </c>
      <c r="I52" s="2">
        <v>-1.29</v>
      </c>
      <c r="J52" s="2"/>
      <c r="K52" s="2"/>
      <c r="L52" s="2"/>
      <c r="M52" s="2"/>
      <c r="N52" s="2"/>
      <c r="O52" s="2"/>
      <c r="P52" s="9"/>
      <c r="Q52" s="2">
        <f>SUM(OSRRefD21_6_1x)+IFERROR(SUM(OSRRefE21_6_1x),0)</f>
        <v>-26.31</v>
      </c>
    </row>
    <row r="53" spans="1:17" s="35" customFormat="1" collapsed="1" x14ac:dyDescent="0.3">
      <c r="A53" s="34"/>
      <c r="B53" s="14" t="str">
        <f>CONCATENATE("     ","Donations                                         ")</f>
        <v xml:space="preserve">     Donations                                         </v>
      </c>
      <c r="C53" s="14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1483.48</v>
      </c>
      <c r="H53" s="1">
        <f>SUM(OSRRefD21_7x_4)</f>
        <v>1336.74</v>
      </c>
      <c r="I53" s="1">
        <f>SUM(OSRRefD21_7x_5)</f>
        <v>0</v>
      </c>
      <c r="J53" s="1">
        <f>SUM(OSRRefE21_7x_0)</f>
        <v>1250</v>
      </c>
      <c r="K53" s="1">
        <f>SUM(OSRRefE21_7x_1)</f>
        <v>1250</v>
      </c>
      <c r="L53" s="1">
        <f>SUM(OSRRefE21_7x_2)</f>
        <v>1250</v>
      </c>
      <c r="M53" s="1">
        <f>SUM(OSRRefE21_7x_3)</f>
        <v>1250</v>
      </c>
      <c r="N53" s="1">
        <f>SUM(OSRRefE21_7x_4)</f>
        <v>1250</v>
      </c>
      <c r="O53" s="1">
        <f>SUM(OSRRefE21_7x_5)</f>
        <v>1250</v>
      </c>
      <c r="Q53" s="2">
        <f>SUM(OSRRefD20_7x)+IFERROR(SUM(OSRRefE20_7x),0)</f>
        <v>10320.220000000001</v>
      </c>
    </row>
    <row r="54" spans="1:17" s="35" customFormat="1" hidden="1" outlineLevel="1" x14ac:dyDescent="0.3">
      <c r="A54" s="34"/>
      <c r="B54" s="10" t="str">
        <f>CONCATENATE("          ","6399", " - ","DONATION-ON CAMPUS")</f>
        <v xml:space="preserve">          6399 - DONATION-ON CAMPUS</v>
      </c>
      <c r="C54" s="14"/>
      <c r="D54" s="2"/>
      <c r="E54" s="2"/>
      <c r="F54" s="2"/>
      <c r="G54" s="2">
        <v>1483.48</v>
      </c>
      <c r="H54" s="2">
        <v>1336.74</v>
      </c>
      <c r="I54" s="2"/>
      <c r="J54" s="2">
        <v>1250</v>
      </c>
      <c r="K54" s="2">
        <v>1250</v>
      </c>
      <c r="L54" s="2">
        <v>1250</v>
      </c>
      <c r="M54" s="2">
        <v>1250</v>
      </c>
      <c r="N54" s="2">
        <v>1250</v>
      </c>
      <c r="O54" s="2">
        <v>1250</v>
      </c>
      <c r="P54" s="9"/>
      <c r="Q54" s="2">
        <f>SUM(OSRRefD21_7_0x)+IFERROR(SUM(OSRRefE21_7_0x),0)</f>
        <v>10320.220000000001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SUM(OSRRefD21_8x_0)</f>
        <v>320.92</v>
      </c>
      <c r="E55" s="1">
        <f>SUM(OSRRefD21_8x_1)</f>
        <v>400</v>
      </c>
      <c r="F55" s="1">
        <f>SUM(OSRRefD21_8x_2)</f>
        <v>447.27</v>
      </c>
      <c r="G55" s="1">
        <f>SUM(OSRRefD21_8x_3)</f>
        <v>0</v>
      </c>
      <c r="H55" s="1">
        <f>SUM(OSRRefD21_8x_4)</f>
        <v>490.02</v>
      </c>
      <c r="I55" s="1">
        <f>SUM(OSRRefD21_8x_5)</f>
        <v>949.16</v>
      </c>
      <c r="J55" s="1">
        <f>SUM(OSRRefE21_8x_0)</f>
        <v>100</v>
      </c>
      <c r="K55" s="1">
        <f>SUM(OSRRefE21_8x_1)</f>
        <v>100</v>
      </c>
      <c r="L55" s="1">
        <f>SUM(OSRRefE21_8x_2)</f>
        <v>100</v>
      </c>
      <c r="M55" s="1">
        <f>SUM(OSRRefE21_8x_3)</f>
        <v>100</v>
      </c>
      <c r="N55" s="1">
        <f>SUM(OSRRefE21_8x_4)</f>
        <v>100</v>
      </c>
      <c r="O55" s="1">
        <f>SUM(OSRRefE21_8x_5)</f>
        <v>100</v>
      </c>
      <c r="Q55" s="2">
        <f>SUM(OSRRefD20_8x)+IFERROR(SUM(OSRRefE20_8x),0)</f>
        <v>3207.37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>
        <v>320.92</v>
      </c>
      <c r="E56" s="2">
        <v>400</v>
      </c>
      <c r="F56" s="2">
        <v>447.27</v>
      </c>
      <c r="G56" s="2"/>
      <c r="H56" s="2">
        <v>490.02</v>
      </c>
      <c r="I56" s="2">
        <v>949.16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SUM(OSRRefD21_8_0x)+IFERROR(SUM(OSRRefE21_8_0x),0)</f>
        <v>3207.37</v>
      </c>
    </row>
    <row r="57" spans="1:17" s="35" customFormat="1" collapsed="1" x14ac:dyDescent="0.3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SUM(OSRRefD21_9x_0)</f>
        <v>91.26</v>
      </c>
      <c r="E57" s="1">
        <f>SUM(OSRRefD21_9x_1)</f>
        <v>1006.83</v>
      </c>
      <c r="F57" s="1">
        <f>SUM(OSRRefD21_9x_2)</f>
        <v>91.26</v>
      </c>
      <c r="G57" s="1">
        <f>SUM(OSRRefD21_9x_3)</f>
        <v>234.45</v>
      </c>
      <c r="H57" s="1">
        <f>SUM(OSRRefD21_9x_4)</f>
        <v>415.15</v>
      </c>
      <c r="I57" s="1">
        <f>SUM(OSRRefD21_9x_5)</f>
        <v>91.26</v>
      </c>
      <c r="J57" s="1">
        <f>SUM(OSRRefE21_9x_0)</f>
        <v>300</v>
      </c>
      <c r="K57" s="1">
        <f>SUM(OSRRefE21_9x_1)</f>
        <v>300</v>
      </c>
      <c r="L57" s="1">
        <f>SUM(OSRRefE21_9x_2)</f>
        <v>300</v>
      </c>
      <c r="M57" s="1">
        <f>SUM(OSRRefE21_9x_3)</f>
        <v>300</v>
      </c>
      <c r="N57" s="1">
        <f>SUM(OSRRefE21_9x_4)</f>
        <v>300</v>
      </c>
      <c r="O57" s="1">
        <f>SUM(OSRRefE21_9x_5)</f>
        <v>300</v>
      </c>
      <c r="Q57" s="2">
        <f>SUM(OSRRefD20_9x)+IFERROR(SUM(OSRRefE20_9x),0)</f>
        <v>3730.21</v>
      </c>
    </row>
    <row r="58" spans="1:17" s="35" customFormat="1" hidden="1" outlineLevel="1" x14ac:dyDescent="0.3">
      <c r="A58" s="34"/>
      <c r="B58" s="10" t="str">
        <f>CONCATENATE("          ","6351", " - ","EQUIPMENT RENTAL")</f>
        <v xml:space="preserve">          6351 - EQUIPMENT RENTAL</v>
      </c>
      <c r="C58" s="14"/>
      <c r="D58" s="2">
        <v>91.26</v>
      </c>
      <c r="E58" s="2">
        <v>1006.83</v>
      </c>
      <c r="F58" s="2">
        <v>91.26</v>
      </c>
      <c r="G58" s="2">
        <v>234.45</v>
      </c>
      <c r="H58" s="2">
        <v>415.15</v>
      </c>
      <c r="I58" s="2">
        <v>91.26</v>
      </c>
      <c r="J58" s="2">
        <v>300</v>
      </c>
      <c r="K58" s="2">
        <v>300</v>
      </c>
      <c r="L58" s="2">
        <v>300</v>
      </c>
      <c r="M58" s="2">
        <v>300</v>
      </c>
      <c r="N58" s="2">
        <v>300</v>
      </c>
      <c r="O58" s="2">
        <v>300</v>
      </c>
      <c r="P58" s="9"/>
      <c r="Q58" s="2">
        <f>SUM(OSRRefD21_9_0x)+IFERROR(SUM(OSRRefE21_9_0x),0)</f>
        <v>3730.21</v>
      </c>
    </row>
    <row r="59" spans="1:17" s="35" customFormat="1" collapsed="1" x14ac:dyDescent="0.3">
      <c r="A59" s="34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SUM(OSRRefD21_10x_0)</f>
        <v>315.95</v>
      </c>
      <c r="E59" s="1">
        <f>SUM(OSRRefD21_10x_1)</f>
        <v>615.95000000000005</v>
      </c>
      <c r="F59" s="1">
        <f>SUM(OSRRefD21_10x_2)</f>
        <v>0.43</v>
      </c>
      <c r="G59" s="1">
        <f>SUM(OSRRefD21_10x_3)</f>
        <v>1231.9000000000001</v>
      </c>
      <c r="H59" s="1">
        <f>SUM(OSRRefD21_10x_4)</f>
        <v>7326.06</v>
      </c>
      <c r="I59" s="1">
        <f>SUM(OSRRefD21_10x_5)</f>
        <v>15.95</v>
      </c>
      <c r="J59" s="1">
        <f>SUM(OSRRefE21_10x_0)</f>
        <v>100</v>
      </c>
      <c r="K59" s="1">
        <f>SUM(OSRRefE21_10x_1)</f>
        <v>100</v>
      </c>
      <c r="L59" s="1">
        <f>SUM(OSRRefE21_10x_2)</f>
        <v>100</v>
      </c>
      <c r="M59" s="1">
        <f>SUM(OSRRefE21_10x_3)</f>
        <v>100</v>
      </c>
      <c r="N59" s="1">
        <f>SUM(OSRRefE21_10x_4)</f>
        <v>100</v>
      </c>
      <c r="O59" s="1">
        <f>SUM(OSRRefE21_10x_5)</f>
        <v>100</v>
      </c>
      <c r="Q59" s="2">
        <f>SUM(OSRRefD20_10x)+IFERROR(SUM(OSRRefE20_10x),0)</f>
        <v>10106.240000000002</v>
      </c>
    </row>
    <row r="60" spans="1:17" s="35" customFormat="1" hidden="1" outlineLevel="1" x14ac:dyDescent="0.3">
      <c r="A60" s="34"/>
      <c r="B60" s="10" t="str">
        <f>CONCATENATE("          ","6307", " - ","POSTAGE")</f>
        <v xml:space="preserve">          6307 - POSTAGE</v>
      </c>
      <c r="C60" s="14"/>
      <c r="D60" s="2">
        <v>315.95</v>
      </c>
      <c r="E60" s="2">
        <v>615.95000000000005</v>
      </c>
      <c r="F60" s="2">
        <v>0.43</v>
      </c>
      <c r="G60" s="2">
        <v>1231.9000000000001</v>
      </c>
      <c r="H60" s="2">
        <v>7326.06</v>
      </c>
      <c r="I60" s="2">
        <v>15.95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SUM(OSRRefD21_10_0x)+IFERROR(SUM(OSRRefE21_10_0x),0)</f>
        <v>10106.240000000002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SUM(OSRRefD21_11x_0)</f>
        <v>778</v>
      </c>
      <c r="E61" s="1">
        <f>SUM(OSRRefD21_11x_1)</f>
        <v>769.25</v>
      </c>
      <c r="F61" s="1">
        <f>SUM(OSRRefD21_11x_2)</f>
        <v>0</v>
      </c>
      <c r="G61" s="1">
        <f>SUM(OSRRefD21_11x_3)</f>
        <v>327.5</v>
      </c>
      <c r="H61" s="1">
        <f>SUM(OSRRefD21_11x_4)</f>
        <v>0</v>
      </c>
      <c r="I61" s="1">
        <f>SUM(OSRRefD21_11x_5)</f>
        <v>682</v>
      </c>
      <c r="J61" s="1">
        <f>SUM(OSRRefE21_11x_0)</f>
        <v>200</v>
      </c>
      <c r="K61" s="1">
        <f>SUM(OSRRefE21_11x_1)</f>
        <v>200</v>
      </c>
      <c r="L61" s="1">
        <f>SUM(OSRRefE21_11x_2)</f>
        <v>200</v>
      </c>
      <c r="M61" s="1">
        <f>SUM(OSRRefE21_11x_3)</f>
        <v>200</v>
      </c>
      <c r="N61" s="1">
        <f>SUM(OSRRefE21_11x_4)</f>
        <v>200</v>
      </c>
      <c r="O61" s="1">
        <f>SUM(OSRRefE21_11x_5)</f>
        <v>200</v>
      </c>
      <c r="Q61" s="2">
        <f>SUM(OSRRefD20_11x)+IFERROR(SUM(OSRRefE20_11x),0)</f>
        <v>3756.75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778</v>
      </c>
      <c r="E62" s="2">
        <v>769.25</v>
      </c>
      <c r="F62" s="2"/>
      <c r="G62" s="2">
        <v>327.5</v>
      </c>
      <c r="H62" s="2"/>
      <c r="I62" s="2">
        <v>682</v>
      </c>
      <c r="J62" s="2">
        <v>200</v>
      </c>
      <c r="K62" s="2">
        <v>200</v>
      </c>
      <c r="L62" s="2">
        <v>200</v>
      </c>
      <c r="M62" s="2">
        <v>200</v>
      </c>
      <c r="N62" s="2">
        <v>200</v>
      </c>
      <c r="O62" s="2">
        <v>200</v>
      </c>
      <c r="P62" s="9"/>
      <c r="Q62" s="2">
        <f>SUM(OSRRefD21_11_0x)+IFERROR(SUM(OSRRefE21_11_0x),0)</f>
        <v>3756.75</v>
      </c>
    </row>
    <row r="63" spans="1:17" s="35" customFormat="1" collapsed="1" x14ac:dyDescent="0.3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SUM(OSRRefD21_12x_0)</f>
        <v>5275.49</v>
      </c>
      <c r="E63" s="1">
        <f>SUM(OSRRefD21_12x_1)</f>
        <v>5275.49</v>
      </c>
      <c r="F63" s="1">
        <f>SUM(OSRRefD21_12x_2)</f>
        <v>5275.49</v>
      </c>
      <c r="G63" s="1">
        <f>SUM(OSRRefD21_12x_3)</f>
        <v>5275.49</v>
      </c>
      <c r="H63" s="1">
        <f>SUM(OSRRefD21_12x_4)</f>
        <v>5275.49</v>
      </c>
      <c r="I63" s="1">
        <f>SUM(OSRRefD21_12x_5)</f>
        <v>5275.49</v>
      </c>
      <c r="J63" s="1">
        <f>SUM(OSRRefE21_12x_0)</f>
        <v>5200</v>
      </c>
      <c r="K63" s="1">
        <f>SUM(OSRRefE21_12x_1)</f>
        <v>5200</v>
      </c>
      <c r="L63" s="1">
        <f>SUM(OSRRefE21_12x_2)</f>
        <v>5200</v>
      </c>
      <c r="M63" s="1">
        <f>SUM(OSRRefE21_12x_3)</f>
        <v>5200</v>
      </c>
      <c r="N63" s="1">
        <f>SUM(OSRRefE21_12x_4)</f>
        <v>5200</v>
      </c>
      <c r="O63" s="1">
        <f>SUM(OSRRefE21_12x_5)</f>
        <v>5200</v>
      </c>
      <c r="Q63" s="2">
        <f>SUM(OSRRefD20_12x)+IFERROR(SUM(OSRRefE20_12x),0)</f>
        <v>62852.939999999995</v>
      </c>
    </row>
    <row r="64" spans="1:17" s="35" customFormat="1" hidden="1" outlineLevel="1" x14ac:dyDescent="0.3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5275.49</v>
      </c>
      <c r="E64" s="2">
        <v>5275.49</v>
      </c>
      <c r="F64" s="2">
        <v>5275.49</v>
      </c>
      <c r="G64" s="2">
        <v>5275.49</v>
      </c>
      <c r="H64" s="2">
        <v>5275.49</v>
      </c>
      <c r="I64" s="2">
        <v>5275.49</v>
      </c>
      <c r="J64" s="2">
        <v>5200</v>
      </c>
      <c r="K64" s="2">
        <v>5200</v>
      </c>
      <c r="L64" s="2">
        <v>5200</v>
      </c>
      <c r="M64" s="2">
        <v>5200</v>
      </c>
      <c r="N64" s="2">
        <v>5200</v>
      </c>
      <c r="O64" s="2">
        <v>5200</v>
      </c>
      <c r="P64" s="9"/>
      <c r="Q64" s="2">
        <f>SUM(OSRRefD21_12_0x)+IFERROR(SUM(OSRRefE21_12_0x),0)</f>
        <v>62852.939999999995</v>
      </c>
    </row>
    <row r="65" spans="1:17" s="35" customFormat="1" collapsed="1" x14ac:dyDescent="0.3">
      <c r="A65" s="34"/>
      <c r="B65" s="14" t="str">
        <f>CONCATENATE("     ","Professional Services                             ")</f>
        <v xml:space="preserve">     Professional Services                             </v>
      </c>
      <c r="C65" s="14"/>
      <c r="D65" s="1">
        <f>SUM(OSRRefD21_13x_0)</f>
        <v>0</v>
      </c>
      <c r="E65" s="1">
        <f>SUM(OSRRefD21_13x_1)</f>
        <v>0</v>
      </c>
      <c r="F65" s="1">
        <f>SUM(OSRRefD21_13x_2)</f>
        <v>0</v>
      </c>
      <c r="G65" s="1">
        <f>SUM(OSRRefD21_13x_3)</f>
        <v>7517.43</v>
      </c>
      <c r="H65" s="1">
        <f>SUM(OSRRefD21_13x_4)</f>
        <v>0</v>
      </c>
      <c r="I65" s="1">
        <f>SUM(OSRRefD21_13x_5)</f>
        <v>0</v>
      </c>
      <c r="J65" s="1">
        <f>SUM(OSRRefE21_13x_0)</f>
        <v>0</v>
      </c>
      <c r="K65" s="1">
        <f>SUM(OSRRefE21_13x_1)</f>
        <v>0</v>
      </c>
      <c r="L65" s="1">
        <f>SUM(OSRRefE21_13x_2)</f>
        <v>0</v>
      </c>
      <c r="M65" s="1">
        <f>SUM(OSRRefE21_13x_3)</f>
        <v>0</v>
      </c>
      <c r="N65" s="1">
        <f>SUM(OSRRefE21_13x_4)</f>
        <v>0</v>
      </c>
      <c r="O65" s="1">
        <f>SUM(OSRRefE21_13x_5)</f>
        <v>0</v>
      </c>
      <c r="Q65" s="2">
        <f>SUM(OSRRefD20_13x)+IFERROR(SUM(OSRRefE20_13x),0)</f>
        <v>7517.43</v>
      </c>
    </row>
    <row r="66" spans="1:17" s="35" customFormat="1" hidden="1" outlineLevel="1" x14ac:dyDescent="0.3">
      <c r="A66" s="34"/>
      <c r="B66" s="10" t="str">
        <f>CONCATENATE("          ","6336", " - ","PROFESSIONAL SERVICES")</f>
        <v xml:space="preserve">          6336 - PROFESSIONAL SERVICES</v>
      </c>
      <c r="C66" s="14"/>
      <c r="D66" s="2"/>
      <c r="E66" s="2"/>
      <c r="F66" s="2"/>
      <c r="G66" s="2">
        <v>7517.43</v>
      </c>
      <c r="H66" s="2"/>
      <c r="I66" s="2"/>
      <c r="J66" s="2"/>
      <c r="K66" s="2"/>
      <c r="L66" s="2"/>
      <c r="M66" s="2"/>
      <c r="N66" s="2"/>
      <c r="O66" s="2"/>
      <c r="P66" s="9"/>
      <c r="Q66" s="2">
        <f>SUM(OSRRefD21_13_0x)+IFERROR(SUM(OSRRefE21_13_0x),0)</f>
        <v>7517.43</v>
      </c>
    </row>
    <row r="67" spans="1:17" s="35" customFormat="1" collapsed="1" x14ac:dyDescent="0.3">
      <c r="A67" s="34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SUM(OSRRefD21_14x_0)</f>
        <v>-800</v>
      </c>
      <c r="E67" s="1">
        <f>SUM(OSRRefD21_14x_1)</f>
        <v>-800</v>
      </c>
      <c r="F67" s="1">
        <f>SUM(OSRRefD21_14x_2)</f>
        <v>-800</v>
      </c>
      <c r="G67" s="1">
        <f>SUM(OSRRefD21_14x_3)</f>
        <v>-800</v>
      </c>
      <c r="H67" s="1">
        <f>SUM(OSRRefD21_14x_4)</f>
        <v>-800</v>
      </c>
      <c r="I67" s="1">
        <f>SUM(OSRRefD21_14x_5)</f>
        <v>-800</v>
      </c>
      <c r="J67" s="1">
        <f>SUM(OSRRefE21_14x_0)</f>
        <v>-800</v>
      </c>
      <c r="K67" s="1">
        <f>SUM(OSRRefE21_14x_1)</f>
        <v>-800</v>
      </c>
      <c r="L67" s="1">
        <f>SUM(OSRRefE21_14x_2)</f>
        <v>-800</v>
      </c>
      <c r="M67" s="1">
        <f>SUM(OSRRefE21_14x_3)</f>
        <v>-800</v>
      </c>
      <c r="N67" s="1">
        <f>SUM(OSRRefE21_14x_4)</f>
        <v>-800</v>
      </c>
      <c r="O67" s="1">
        <f>SUM(OSRRefE21_14x_5)</f>
        <v>-800</v>
      </c>
      <c r="Q67" s="2">
        <f>SUM(OSRRefD20_14x)+IFERROR(SUM(OSRRefE20_14x),0)</f>
        <v>-9600</v>
      </c>
    </row>
    <row r="68" spans="1:17" s="35" customFormat="1" hidden="1" outlineLevel="1" x14ac:dyDescent="0.3">
      <c r="A68" s="34"/>
      <c r="B68" s="10" t="str">
        <f>CONCATENATE("          ","6273", " - ","RENT")</f>
        <v xml:space="preserve">          6273 - RENT</v>
      </c>
      <c r="C68" s="14"/>
      <c r="D68" s="2">
        <v>-800</v>
      </c>
      <c r="E68" s="2">
        <v>-800</v>
      </c>
      <c r="F68" s="2">
        <v>-800</v>
      </c>
      <c r="G68" s="2">
        <v>-800</v>
      </c>
      <c r="H68" s="2">
        <v>-800</v>
      </c>
      <c r="I68" s="2">
        <v>-800</v>
      </c>
      <c r="J68" s="2">
        <v>-800</v>
      </c>
      <c r="K68" s="2">
        <v>-800</v>
      </c>
      <c r="L68" s="2">
        <v>-800</v>
      </c>
      <c r="M68" s="2">
        <v>-800</v>
      </c>
      <c r="N68" s="2">
        <v>-800</v>
      </c>
      <c r="O68" s="2">
        <v>-800</v>
      </c>
      <c r="P68" s="9"/>
      <c r="Q68" s="2">
        <f>SUM(OSRRefD21_14_0x)+IFERROR(SUM(OSRRefE21_14_0x),0)</f>
        <v>-9600</v>
      </c>
    </row>
    <row r="69" spans="1:17" s="35" customFormat="1" collapsed="1" x14ac:dyDescent="0.3">
      <c r="A69" s="34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SUM(OSRRefD21_15x_0)</f>
        <v>59516.22</v>
      </c>
      <c r="E69" s="1">
        <f>SUM(OSRRefD21_15x_1)</f>
        <v>5377.0499999999993</v>
      </c>
      <c r="F69" s="1">
        <f>SUM(OSRRefD21_15x_2)</f>
        <v>3897.49</v>
      </c>
      <c r="G69" s="1">
        <f>SUM(OSRRefD21_15x_3)</f>
        <v>1190.8</v>
      </c>
      <c r="H69" s="1">
        <f>SUM(OSRRefD21_15x_4)</f>
        <v>1174.1600000000001</v>
      </c>
      <c r="I69" s="1">
        <f>SUM(OSRRefD21_15x_5)</f>
        <v>4199.7700000000004</v>
      </c>
      <c r="J69" s="1">
        <f>SUM(OSRRefE21_15x_0)</f>
        <v>4950</v>
      </c>
      <c r="K69" s="1">
        <f>SUM(OSRRefE21_15x_1)</f>
        <v>20750</v>
      </c>
      <c r="L69" s="1">
        <f>SUM(OSRRefE21_15x_2)</f>
        <v>4950</v>
      </c>
      <c r="M69" s="1">
        <f>SUM(OSRRefE21_15x_3)</f>
        <v>4950</v>
      </c>
      <c r="N69" s="1">
        <f>SUM(OSRRefE21_15x_4)</f>
        <v>4850</v>
      </c>
      <c r="O69" s="1">
        <f>SUM(OSRRefE21_15x_5)</f>
        <v>4950</v>
      </c>
      <c r="Q69" s="2">
        <f>SUM(OSRRefD20_15x)+IFERROR(SUM(OSRRefE20_15x),0)</f>
        <v>120755.49000000002</v>
      </c>
    </row>
    <row r="70" spans="1:17" s="35" customFormat="1" hidden="1" outlineLevel="1" x14ac:dyDescent="0.3">
      <c r="A70" s="34"/>
      <c r="B70" s="10" t="str">
        <f>CONCATENATE("          ","6371", " - ","COMPUTER SOFTWARE MAINTENANCE")</f>
        <v xml:space="preserve">          6371 - COMPUTER SOFTWARE MAINTENANCE</v>
      </c>
      <c r="C70" s="14"/>
      <c r="D70" s="2">
        <v>56736</v>
      </c>
      <c r="E70" s="2"/>
      <c r="F70" s="2"/>
      <c r="G70" s="2"/>
      <c r="H70" s="2"/>
      <c r="I70" s="2"/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SUM(OSRRefD21_15_0x)+IFERROR(SUM(OSRRefE21_15_0x),0)</f>
        <v>62736</v>
      </c>
    </row>
    <row r="71" spans="1:17" s="35" customFormat="1" hidden="1" outlineLevel="1" x14ac:dyDescent="0.3">
      <c r="A71" s="34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/>
      <c r="J71" s="2">
        <v>3750</v>
      </c>
      <c r="K71" s="2">
        <v>3750</v>
      </c>
      <c r="L71" s="2">
        <v>3750</v>
      </c>
      <c r="M71" s="2">
        <v>3750</v>
      </c>
      <c r="N71" s="2">
        <v>3750</v>
      </c>
      <c r="O71" s="2">
        <v>3750</v>
      </c>
      <c r="P71" s="9"/>
      <c r="Q71" s="2">
        <f>SUM(OSRRefD21_15_1x)+IFERROR(SUM(OSRRefE21_15_1x),0)</f>
        <v>22500</v>
      </c>
    </row>
    <row r="72" spans="1:17" s="35" customFormat="1" hidden="1" outlineLevel="1" x14ac:dyDescent="0.3">
      <c r="A72" s="34"/>
      <c r="B72" s="10" t="str">
        <f>CONCATENATE("          ","6373", " - ","MAINTENANCE CONTRACTS")</f>
        <v xml:space="preserve">          6373 - MAINTENANCE CONTRACTS</v>
      </c>
      <c r="C72" s="14"/>
      <c r="D72" s="2">
        <v>16.260000000000002</v>
      </c>
      <c r="E72" s="2">
        <v>5948.98</v>
      </c>
      <c r="F72" s="2">
        <v>1074.8900000000001</v>
      </c>
      <c r="G72" s="2">
        <v>182.91</v>
      </c>
      <c r="H72" s="2">
        <v>15.4</v>
      </c>
      <c r="I72" s="2">
        <v>1149.83</v>
      </c>
      <c r="J72" s="2">
        <v>200</v>
      </c>
      <c r="K72" s="2">
        <v>16000</v>
      </c>
      <c r="L72" s="2">
        <v>200</v>
      </c>
      <c r="M72" s="2">
        <v>200</v>
      </c>
      <c r="N72" s="2">
        <v>100</v>
      </c>
      <c r="O72" s="2">
        <v>200</v>
      </c>
      <c r="P72" s="9"/>
      <c r="Q72" s="2">
        <f>SUM(OSRRefD21_15_2x)+IFERROR(SUM(OSRRefE21_15_2x),0)</f>
        <v>25288.27</v>
      </c>
    </row>
    <row r="73" spans="1:17" s="35" customFormat="1" hidden="1" outlineLevel="1" x14ac:dyDescent="0.3">
      <c r="A73" s="34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2763.96</v>
      </c>
      <c r="E73" s="2">
        <v>-571.92999999999995</v>
      </c>
      <c r="F73" s="2">
        <v>2822.6</v>
      </c>
      <c r="G73" s="2">
        <v>1007.89</v>
      </c>
      <c r="H73" s="2">
        <v>1158.76</v>
      </c>
      <c r="I73" s="2">
        <v>3049.94</v>
      </c>
      <c r="J73" s="2"/>
      <c r="K73" s="2"/>
      <c r="L73" s="2"/>
      <c r="M73" s="2"/>
      <c r="N73" s="2"/>
      <c r="O73" s="2"/>
      <c r="P73" s="9"/>
      <c r="Q73" s="2">
        <f>SUM(OSRRefD21_15_3x)+IFERROR(SUM(OSRRefE21_15_3x),0)</f>
        <v>10231.220000000001</v>
      </c>
    </row>
    <row r="74" spans="1:17" s="35" customFormat="1" collapsed="1" x14ac:dyDescent="0.3">
      <c r="A74" s="34"/>
      <c r="B74" s="14" t="str">
        <f>CONCATENATE("     ","Services                                          ")</f>
        <v xml:space="preserve">     Services                                          </v>
      </c>
      <c r="C74" s="14"/>
      <c r="D74" s="1">
        <f>SUM(OSRRefD21_16x_0)</f>
        <v>3850.73</v>
      </c>
      <c r="E74" s="1">
        <f>SUM(OSRRefD21_16x_1)</f>
        <v>10494.52</v>
      </c>
      <c r="F74" s="1">
        <f>SUM(OSRRefD21_16x_2)</f>
        <v>3780.54</v>
      </c>
      <c r="G74" s="1">
        <f>SUM(OSRRefD21_16x_3)</f>
        <v>4653.07</v>
      </c>
      <c r="H74" s="1">
        <f>SUM(OSRRefD21_16x_4)</f>
        <v>4214.8099999999995</v>
      </c>
      <c r="I74" s="1">
        <f>SUM(OSRRefD21_16x_5)</f>
        <v>4326.1499999999996</v>
      </c>
      <c r="J74" s="1">
        <f>SUM(OSRRefE21_16x_0)</f>
        <v>4300</v>
      </c>
      <c r="K74" s="1">
        <f>SUM(OSRRefE21_16x_1)</f>
        <v>4300</v>
      </c>
      <c r="L74" s="1">
        <f>SUM(OSRRefE21_16x_2)</f>
        <v>4300</v>
      </c>
      <c r="M74" s="1">
        <f>SUM(OSRRefE21_16x_3)</f>
        <v>4300</v>
      </c>
      <c r="N74" s="1">
        <f>SUM(OSRRefE21_16x_4)</f>
        <v>4300</v>
      </c>
      <c r="O74" s="1">
        <f>SUM(OSRRefE21_16x_5)</f>
        <v>4300</v>
      </c>
      <c r="Q74" s="2">
        <f>SUM(OSRRefD20_16x)+IFERROR(SUM(OSRRefE20_16x),0)</f>
        <v>57119.82</v>
      </c>
    </row>
    <row r="75" spans="1:17" s="35" customFormat="1" hidden="1" outlineLevel="1" x14ac:dyDescent="0.3">
      <c r="A75" s="34"/>
      <c r="B75" s="10" t="str">
        <f>CONCATENATE("          ","6282", " - ","JANITORIAL/EXTERMINATOR EXPENS")</f>
        <v xml:space="preserve">          6282 - JANITORIAL/EXTERMINATOR EXPENS</v>
      </c>
      <c r="C75" s="14"/>
      <c r="D75" s="2"/>
      <c r="E75" s="2">
        <v>291</v>
      </c>
      <c r="F75" s="2">
        <v>413.27</v>
      </c>
      <c r="G75" s="2">
        <v>532.80999999999995</v>
      </c>
      <c r="H75" s="2">
        <v>129</v>
      </c>
      <c r="I75" s="2">
        <v>129</v>
      </c>
      <c r="J75" s="2">
        <v>4300</v>
      </c>
      <c r="K75" s="2">
        <v>4300</v>
      </c>
      <c r="L75" s="2">
        <v>4300</v>
      </c>
      <c r="M75" s="2">
        <v>4300</v>
      </c>
      <c r="N75" s="2">
        <v>4300</v>
      </c>
      <c r="O75" s="2">
        <v>4300</v>
      </c>
      <c r="P75" s="9"/>
      <c r="Q75" s="2">
        <f>SUM(OSRRefD21_16_0x)+IFERROR(SUM(OSRRefE21_16_0x),0)</f>
        <v>27295.08</v>
      </c>
    </row>
    <row r="76" spans="1:17" s="35" customFormat="1" hidden="1" outlineLevel="1" x14ac:dyDescent="0.3">
      <c r="A76" s="34"/>
      <c r="B76" s="10" t="str">
        <f>CONCATENATE("          ","6285", " - ","JANITORIAL SERVICES")</f>
        <v xml:space="preserve">          6285 - JANITORIAL SERVICES</v>
      </c>
      <c r="C76" s="14"/>
      <c r="D76" s="2">
        <v>3850.73</v>
      </c>
      <c r="E76" s="2">
        <v>10203.52</v>
      </c>
      <c r="F76" s="2">
        <v>3367.27</v>
      </c>
      <c r="G76" s="2">
        <v>4120.26</v>
      </c>
      <c r="H76" s="2">
        <v>4085.81</v>
      </c>
      <c r="I76" s="2">
        <v>4197.1499999999996</v>
      </c>
      <c r="J76" s="2"/>
      <c r="K76" s="2"/>
      <c r="L76" s="2"/>
      <c r="M76" s="2"/>
      <c r="N76" s="2"/>
      <c r="O76" s="2"/>
      <c r="P76" s="9"/>
      <c r="Q76" s="2">
        <f>SUM(OSRRefD21_16_1x)+IFERROR(SUM(OSRRefE21_16_1x),0)</f>
        <v>29824.739999999998</v>
      </c>
    </row>
    <row r="77" spans="1:17" s="35" customFormat="1" collapsed="1" x14ac:dyDescent="0.3">
      <c r="A77" s="34"/>
      <c r="B77" s="14" t="str">
        <f>CONCATENATE("     ","Subscriptions &amp; Dues                              ")</f>
        <v xml:space="preserve">     Subscriptions &amp; Dues                              </v>
      </c>
      <c r="C77" s="14"/>
      <c r="D77" s="1">
        <f>SUM(OSRRefD21_17x_0)</f>
        <v>0</v>
      </c>
      <c r="E77" s="1">
        <f>SUM(OSRRefD21_17x_1)</f>
        <v>0</v>
      </c>
      <c r="F77" s="1">
        <f>SUM(OSRRefD21_17x_2)</f>
        <v>-120</v>
      </c>
      <c r="G77" s="1">
        <f>SUM(OSRRefD21_17x_3)</f>
        <v>0</v>
      </c>
      <c r="H77" s="1">
        <f>SUM(OSRRefD21_17x_4)</f>
        <v>0</v>
      </c>
      <c r="I77" s="1">
        <f>SUM(OSRRefD21_17x_5)</f>
        <v>0</v>
      </c>
      <c r="J77" s="1">
        <f>SUM(OSRRefE21_17x_0)</f>
        <v>0</v>
      </c>
      <c r="K77" s="1">
        <f>SUM(OSRRefE21_17x_1)</f>
        <v>1000</v>
      </c>
      <c r="L77" s="1">
        <f>SUM(OSRRefE21_17x_2)</f>
        <v>0</v>
      </c>
      <c r="M77" s="1">
        <f>SUM(OSRRefE21_17x_3)</f>
        <v>1000</v>
      </c>
      <c r="N77" s="1">
        <f>SUM(OSRRefE21_17x_4)</f>
        <v>0</v>
      </c>
      <c r="O77" s="1">
        <f>SUM(OSRRefE21_17x_5)</f>
        <v>0</v>
      </c>
      <c r="Q77" s="2">
        <f>SUM(OSRRefD20_17x)+IFERROR(SUM(OSRRefE20_17x),0)</f>
        <v>1880</v>
      </c>
    </row>
    <row r="78" spans="1:17" s="35" customFormat="1" hidden="1" outlineLevel="1" x14ac:dyDescent="0.3">
      <c r="A78" s="34"/>
      <c r="B78" s="10" t="str">
        <f>CONCATENATE("          ","6258", " - ","MEMBERSHIP DUES")</f>
        <v xml:space="preserve">          6258 - MEMBERSHIP DUES</v>
      </c>
      <c r="C78" s="14"/>
      <c r="D78" s="2"/>
      <c r="E78" s="2"/>
      <c r="F78" s="2">
        <v>-120</v>
      </c>
      <c r="G78" s="2"/>
      <c r="H78" s="2"/>
      <c r="I78" s="2"/>
      <c r="J78" s="2"/>
      <c r="K78" s="2">
        <v>1000</v>
      </c>
      <c r="L78" s="2"/>
      <c r="M78" s="2">
        <v>1000</v>
      </c>
      <c r="N78" s="2"/>
      <c r="O78" s="2"/>
      <c r="P78" s="9"/>
      <c r="Q78" s="2">
        <f>SUM(OSRRefD21_17_0x)+IFERROR(SUM(OSRRefE21_17_0x),0)</f>
        <v>1880</v>
      </c>
    </row>
    <row r="79" spans="1:17" s="35" customFormat="1" collapsed="1" x14ac:dyDescent="0.3">
      <c r="A79" s="34"/>
      <c r="B79" s="14" t="str">
        <f>CONCATENATE("     ","Supplies                                          ")</f>
        <v xml:space="preserve">     Supplies                                          </v>
      </c>
      <c r="C79" s="14"/>
      <c r="D79" s="1">
        <f>SUM(OSRRefD21_18x_0)</f>
        <v>1080.9100000000001</v>
      </c>
      <c r="E79" s="1">
        <f>SUM(OSRRefD21_18x_1)</f>
        <v>4373.46</v>
      </c>
      <c r="F79" s="1">
        <f>SUM(OSRRefD21_18x_2)</f>
        <v>1990.44</v>
      </c>
      <c r="G79" s="1">
        <f>SUM(OSRRefD21_18x_3)</f>
        <v>5953.17</v>
      </c>
      <c r="H79" s="1">
        <f>SUM(OSRRefD21_18x_4)</f>
        <v>4528.7700000000004</v>
      </c>
      <c r="I79" s="1">
        <f>SUM(OSRRefD21_18x_5)</f>
        <v>1557.98</v>
      </c>
      <c r="J79" s="1">
        <f>SUM(OSRRefE21_18x_0)</f>
        <v>5500</v>
      </c>
      <c r="K79" s="1">
        <f>SUM(OSRRefE21_18x_1)</f>
        <v>5500</v>
      </c>
      <c r="L79" s="1">
        <f>SUM(OSRRefE21_18x_2)</f>
        <v>5500</v>
      </c>
      <c r="M79" s="1">
        <f>SUM(OSRRefE21_18x_3)</f>
        <v>5500</v>
      </c>
      <c r="N79" s="1">
        <f>SUM(OSRRefE21_18x_4)</f>
        <v>5500</v>
      </c>
      <c r="O79" s="1">
        <f>SUM(OSRRefE21_18x_5)</f>
        <v>5500</v>
      </c>
      <c r="Q79" s="2">
        <f>SUM(OSRRefD20_18x)+IFERROR(SUM(OSRRefE20_18x),0)</f>
        <v>52484.729999999996</v>
      </c>
    </row>
    <row r="80" spans="1:17" s="35" customFormat="1" hidden="1" outlineLevel="1" x14ac:dyDescent="0.3">
      <c r="A80" s="34"/>
      <c r="B80" s="10" t="str">
        <f>CONCATENATE("          ","6234", " - ","EXPENDABLE SUPPLIES &amp; EQUIPMEN")</f>
        <v xml:space="preserve">          6234 - EXPENDABLE SUPPLIES &amp; EQUIPMEN</v>
      </c>
      <c r="C80" s="14"/>
      <c r="D80" s="2"/>
      <c r="E80" s="2"/>
      <c r="F80" s="2"/>
      <c r="G80" s="2">
        <v>1194.8900000000001</v>
      </c>
      <c r="H80" s="2">
        <v>2701.13</v>
      </c>
      <c r="I80" s="2"/>
      <c r="J80" s="2">
        <v>300</v>
      </c>
      <c r="K80" s="2">
        <v>300</v>
      </c>
      <c r="L80" s="2">
        <v>300</v>
      </c>
      <c r="M80" s="2">
        <v>300</v>
      </c>
      <c r="N80" s="2">
        <v>300</v>
      </c>
      <c r="O80" s="2">
        <v>300</v>
      </c>
      <c r="P80" s="9"/>
      <c r="Q80" s="2">
        <f>SUM(OSRRefD21_18_0x)+IFERROR(SUM(OSRRefE21_18_0x),0)</f>
        <v>5696.02</v>
      </c>
    </row>
    <row r="81" spans="1:17" s="35" customFormat="1" hidden="1" outlineLevel="1" x14ac:dyDescent="0.3">
      <c r="A81" s="34"/>
      <c r="B81" s="10" t="str">
        <f>CONCATENATE("          ","6235", " - ","COVID-19 EXPENSES")</f>
        <v xml:space="preserve">          6235 - COVID-19 EXPENSES</v>
      </c>
      <c r="C81" s="14"/>
      <c r="D81" s="2">
        <v>272.22000000000003</v>
      </c>
      <c r="E81" s="2">
        <v>2695.61</v>
      </c>
      <c r="F81" s="2">
        <v>462.49</v>
      </c>
      <c r="G81" s="2"/>
      <c r="H81" s="2"/>
      <c r="I81" s="2"/>
      <c r="J81" s="2">
        <v>100</v>
      </c>
      <c r="K81" s="2">
        <v>100</v>
      </c>
      <c r="L81" s="2">
        <v>100</v>
      </c>
      <c r="M81" s="2">
        <v>100</v>
      </c>
      <c r="N81" s="2">
        <v>100</v>
      </c>
      <c r="O81" s="2">
        <v>100</v>
      </c>
      <c r="P81" s="9"/>
      <c r="Q81" s="2">
        <f>SUM(OSRRefD21_18_1x)+IFERROR(SUM(OSRRefE21_18_1x),0)</f>
        <v>4030.3199999999997</v>
      </c>
    </row>
    <row r="82" spans="1:17" s="35" customFormat="1" hidden="1" outlineLevel="1" x14ac:dyDescent="0.3">
      <c r="A82" s="34"/>
      <c r="B82" s="10" t="str">
        <f>CONCATENATE("          ","6237", " - ","JANITORIAL SUPPLIES")</f>
        <v xml:space="preserve">          6237 - JANITORIAL SUPPLIES</v>
      </c>
      <c r="C82" s="14"/>
      <c r="D82" s="2">
        <v>655.97</v>
      </c>
      <c r="E82" s="2">
        <v>1092.55</v>
      </c>
      <c r="F82" s="2">
        <v>247</v>
      </c>
      <c r="G82" s="2">
        <v>1303.78</v>
      </c>
      <c r="H82" s="2">
        <v>489.67</v>
      </c>
      <c r="I82" s="2"/>
      <c r="J82" s="2"/>
      <c r="K82" s="2"/>
      <c r="L82" s="2"/>
      <c r="M82" s="2"/>
      <c r="N82" s="2"/>
      <c r="O82" s="2"/>
      <c r="P82" s="9"/>
      <c r="Q82" s="2">
        <f>SUM(OSRRefD21_18_2x)+IFERROR(SUM(OSRRefE21_18_2x),0)</f>
        <v>3788.9700000000003</v>
      </c>
    </row>
    <row r="83" spans="1:17" s="35" customFormat="1" hidden="1" outlineLevel="1" x14ac:dyDescent="0.3">
      <c r="A83" s="34"/>
      <c r="B83" s="10" t="str">
        <f>CONCATENATE("          ","6241", " - ","OFFICE EXPENSE")</f>
        <v xml:space="preserve">          6241 - OFFICE EXPENSE</v>
      </c>
      <c r="C83" s="14"/>
      <c r="D83" s="2">
        <v>5.34</v>
      </c>
      <c r="E83" s="2">
        <v>98.44</v>
      </c>
      <c r="F83" s="2"/>
      <c r="G83" s="2">
        <v>589.67999999999995</v>
      </c>
      <c r="H83" s="2">
        <v>133.27000000000001</v>
      </c>
      <c r="I83" s="2">
        <v>217.42</v>
      </c>
      <c r="J83" s="2">
        <v>100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SUM(OSRRefD21_18_3x)+IFERROR(SUM(OSRRefE21_18_3x),0)</f>
        <v>1644.1499999999999</v>
      </c>
    </row>
    <row r="84" spans="1:17" s="35" customFormat="1" hidden="1" outlineLevel="1" x14ac:dyDescent="0.3">
      <c r="A84" s="34"/>
      <c r="B84" s="10" t="str">
        <f>CONCATENATE("          ","6245", " - ","PRINTING")</f>
        <v xml:space="preserve">          6245 - PRINTING</v>
      </c>
      <c r="C84" s="14"/>
      <c r="D84" s="2"/>
      <c r="E84" s="2">
        <v>335.32</v>
      </c>
      <c r="F84" s="2"/>
      <c r="G84" s="2"/>
      <c r="H84" s="2">
        <v>460.28</v>
      </c>
      <c r="I84" s="2">
        <v>209.7</v>
      </c>
      <c r="J84" s="2"/>
      <c r="K84" s="2"/>
      <c r="L84" s="2"/>
      <c r="M84" s="2"/>
      <c r="N84" s="2"/>
      <c r="O84" s="2"/>
      <c r="P84" s="9"/>
      <c r="Q84" s="2">
        <f>SUM(OSRRefD21_18_4x)+IFERROR(SUM(OSRRefE21_18_4x),0)</f>
        <v>1005.3</v>
      </c>
    </row>
    <row r="85" spans="1:17" s="35" customFormat="1" hidden="1" outlineLevel="1" x14ac:dyDescent="0.3">
      <c r="A85" s="34"/>
      <c r="B85" s="10" t="str">
        <f>CONCATENATE("          ","6247", " - ","STORE SUPPLIES")</f>
        <v xml:space="preserve">          6247 - STORE SUPPLIES</v>
      </c>
      <c r="C85" s="14"/>
      <c r="D85" s="2">
        <v>147.38</v>
      </c>
      <c r="E85" s="2">
        <v>151.54</v>
      </c>
      <c r="F85" s="2">
        <v>1280.95</v>
      </c>
      <c r="G85" s="2">
        <v>2864.82</v>
      </c>
      <c r="H85" s="2">
        <v>744.42</v>
      </c>
      <c r="I85" s="2">
        <v>1130.8599999999999</v>
      </c>
      <c r="J85" s="2">
        <v>5000</v>
      </c>
      <c r="K85" s="2">
        <v>5000</v>
      </c>
      <c r="L85" s="2">
        <v>5000</v>
      </c>
      <c r="M85" s="2">
        <v>5000</v>
      </c>
      <c r="N85" s="2">
        <v>5000</v>
      </c>
      <c r="O85" s="2">
        <v>5000</v>
      </c>
      <c r="P85" s="9"/>
      <c r="Q85" s="2">
        <f>SUM(OSRRefD21_18_5x)+IFERROR(SUM(OSRRefE21_18_5x),0)</f>
        <v>36319.97</v>
      </c>
    </row>
    <row r="86" spans="1:17" s="35" customFormat="1" collapsed="1" x14ac:dyDescent="0.3">
      <c r="A86" s="34"/>
      <c r="B86" s="14" t="str">
        <f>CONCATENATE("     ","Telephone/Data Lines                              ")</f>
        <v xml:space="preserve">     Telephone/Data Lines                              </v>
      </c>
      <c r="C86" s="14"/>
      <c r="D86" s="1">
        <f>SUM(OSRRefD21_19x_0)</f>
        <v>513.35</v>
      </c>
      <c r="E86" s="1">
        <f>SUM(OSRRefD21_19x_1)</f>
        <v>537.5</v>
      </c>
      <c r="F86" s="1">
        <f>SUM(OSRRefD21_19x_2)</f>
        <v>594.45000000000005</v>
      </c>
      <c r="G86" s="1">
        <f>SUM(OSRRefD21_19x_3)</f>
        <v>739.5</v>
      </c>
      <c r="H86" s="1">
        <f>SUM(OSRRefD21_19x_4)</f>
        <v>663.5</v>
      </c>
      <c r="I86" s="1">
        <f>SUM(OSRRefD21_19x_5)</f>
        <v>590.82000000000005</v>
      </c>
      <c r="J86" s="1">
        <f>SUM(OSRRefE21_19x_0)</f>
        <v>600</v>
      </c>
      <c r="K86" s="1">
        <f>SUM(OSRRefE21_19x_1)</f>
        <v>600</v>
      </c>
      <c r="L86" s="1">
        <f>SUM(OSRRefE21_19x_2)</f>
        <v>600</v>
      </c>
      <c r="M86" s="1">
        <f>SUM(OSRRefE21_19x_3)</f>
        <v>600</v>
      </c>
      <c r="N86" s="1">
        <f>SUM(OSRRefE21_19x_4)</f>
        <v>600</v>
      </c>
      <c r="O86" s="1">
        <f>SUM(OSRRefE21_19x_5)</f>
        <v>600</v>
      </c>
      <c r="Q86" s="2">
        <f>SUM(OSRRefD20_19x)+IFERROR(SUM(OSRRefE20_19x),0)</f>
        <v>7239.1200000000008</v>
      </c>
    </row>
    <row r="87" spans="1:17" s="35" customFormat="1" hidden="1" outlineLevel="1" x14ac:dyDescent="0.3">
      <c r="A87" s="34"/>
      <c r="B87" s="10" t="str">
        <f>CONCATENATE("          ","6309", " - ","TELEPHONE")</f>
        <v xml:space="preserve">          6309 - TELEPHONE</v>
      </c>
      <c r="C87" s="14"/>
      <c r="D87" s="2">
        <v>513.35</v>
      </c>
      <c r="E87" s="2">
        <v>537.5</v>
      </c>
      <c r="F87" s="2">
        <v>594.45000000000005</v>
      </c>
      <c r="G87" s="2">
        <v>739.5</v>
      </c>
      <c r="H87" s="2">
        <v>663.5</v>
      </c>
      <c r="I87" s="2">
        <v>590.82000000000005</v>
      </c>
      <c r="J87" s="2">
        <v>600</v>
      </c>
      <c r="K87" s="2">
        <v>600</v>
      </c>
      <c r="L87" s="2">
        <v>600</v>
      </c>
      <c r="M87" s="2">
        <v>600</v>
      </c>
      <c r="N87" s="2">
        <v>600</v>
      </c>
      <c r="O87" s="2">
        <v>600</v>
      </c>
      <c r="P87" s="9"/>
      <c r="Q87" s="2">
        <f>SUM(OSRRefD21_19_0x)+IFERROR(SUM(OSRRefE21_19_0x),0)</f>
        <v>7239.1200000000008</v>
      </c>
    </row>
    <row r="88" spans="1:17" s="35" customFormat="1" collapsed="1" x14ac:dyDescent="0.3">
      <c r="A88" s="34"/>
      <c r="B88" s="14" t="str">
        <f>CONCATENATE("     ","Training                                          ")</f>
        <v xml:space="preserve">     Training                                          </v>
      </c>
      <c r="C88" s="14"/>
      <c r="D88" s="1">
        <f>SUM(OSRRefD21_20x_0)</f>
        <v>0</v>
      </c>
      <c r="E88" s="1">
        <f>SUM(OSRRefD21_20x_1)</f>
        <v>0</v>
      </c>
      <c r="F88" s="1">
        <f>SUM(OSRRefD21_20x_2)</f>
        <v>595</v>
      </c>
      <c r="G88" s="1">
        <f>SUM(OSRRefD21_20x_3)</f>
        <v>0</v>
      </c>
      <c r="H88" s="1">
        <f>SUM(OSRRefD21_20x_4)</f>
        <v>0</v>
      </c>
      <c r="I88" s="1">
        <f>SUM(OSRRefD21_20x_5)</f>
        <v>0</v>
      </c>
      <c r="J88" s="1">
        <f>SUM(OSRRefE21_20x_0)</f>
        <v>0</v>
      </c>
      <c r="K88" s="1">
        <f>SUM(OSRRefE21_20x_1)</f>
        <v>2000</v>
      </c>
      <c r="L88" s="1">
        <f>SUM(OSRRefE21_20x_2)</f>
        <v>0</v>
      </c>
      <c r="M88" s="1">
        <f>SUM(OSRRefE21_20x_3)</f>
        <v>0</v>
      </c>
      <c r="N88" s="1">
        <f>SUM(OSRRefE21_20x_4)</f>
        <v>0</v>
      </c>
      <c r="O88" s="1">
        <f>SUM(OSRRefE21_20x_5)</f>
        <v>0</v>
      </c>
      <c r="Q88" s="2">
        <f>SUM(OSRRefD20_20x)+IFERROR(SUM(OSRRefE20_20x),0)</f>
        <v>2595</v>
      </c>
    </row>
    <row r="89" spans="1:17" s="35" customFormat="1" hidden="1" outlineLevel="1" x14ac:dyDescent="0.3">
      <c r="A89" s="34"/>
      <c r="B89" s="10" t="str">
        <f>CONCATENATE("          ","6376", " - ","TRAINING")</f>
        <v xml:space="preserve">          6376 - TRAINING</v>
      </c>
      <c r="C89" s="14"/>
      <c r="D89" s="2"/>
      <c r="E89" s="2"/>
      <c r="F89" s="2">
        <v>595</v>
      </c>
      <c r="G89" s="2"/>
      <c r="H89" s="2"/>
      <c r="I89" s="2"/>
      <c r="J89" s="2"/>
      <c r="K89" s="2">
        <v>2000</v>
      </c>
      <c r="L89" s="2"/>
      <c r="M89" s="2"/>
      <c r="N89" s="2"/>
      <c r="O89" s="2"/>
      <c r="P89" s="9"/>
      <c r="Q89" s="2">
        <f>SUM(OSRRefD21_20_0x)+IFERROR(SUM(OSRRefE21_20_0x),0)</f>
        <v>2595</v>
      </c>
    </row>
    <row r="90" spans="1:17" s="35" customFormat="1" collapsed="1" x14ac:dyDescent="0.3">
      <c r="A90" s="34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SUM(OSRRefD21_21x_0)</f>
        <v>495</v>
      </c>
      <c r="E90" s="1">
        <f>SUM(OSRRefD21_21x_1)</f>
        <v>0</v>
      </c>
      <c r="F90" s="1">
        <f>SUM(OSRRefD21_21x_2)</f>
        <v>0</v>
      </c>
      <c r="G90" s="1">
        <f>SUM(OSRRefD21_21x_3)</f>
        <v>50</v>
      </c>
      <c r="H90" s="1">
        <f>SUM(OSRRefD21_21x_4)</f>
        <v>97.08</v>
      </c>
      <c r="I90" s="1">
        <f>SUM(OSRRefD21_21x_5)</f>
        <v>0</v>
      </c>
      <c r="J90" s="1">
        <f>SUM(OSRRefE21_21x_0)</f>
        <v>125</v>
      </c>
      <c r="K90" s="1">
        <f>SUM(OSRRefE21_21x_1)</f>
        <v>125</v>
      </c>
      <c r="L90" s="1">
        <f>SUM(OSRRefE21_21x_2)</f>
        <v>125</v>
      </c>
      <c r="M90" s="1">
        <f>SUM(OSRRefE21_21x_3)</f>
        <v>125</v>
      </c>
      <c r="N90" s="1">
        <f>SUM(OSRRefE21_21x_4)</f>
        <v>125</v>
      </c>
      <c r="O90" s="1">
        <f>SUM(OSRRefE21_21x_5)</f>
        <v>125</v>
      </c>
      <c r="Q90" s="2">
        <f>SUM(OSRRefD20_21x)+IFERROR(SUM(OSRRefE20_21x),0)</f>
        <v>1392.08</v>
      </c>
    </row>
    <row r="91" spans="1:17" s="35" customFormat="1" hidden="1" outlineLevel="1" x14ac:dyDescent="0.3">
      <c r="A91" s="34"/>
      <c r="B91" s="10" t="str">
        <f>CONCATENATE("          ","6292", " - ","TRAVEL/CONFERENCE")</f>
        <v xml:space="preserve">          6292 - TRAVEL/CONFERENCE</v>
      </c>
      <c r="C91" s="14"/>
      <c r="D91" s="2">
        <v>495</v>
      </c>
      <c r="E91" s="2"/>
      <c r="F91" s="2"/>
      <c r="G91" s="2"/>
      <c r="H91" s="2"/>
      <c r="I91" s="2"/>
      <c r="J91" s="2">
        <v>125</v>
      </c>
      <c r="K91" s="2">
        <v>125</v>
      </c>
      <c r="L91" s="2">
        <v>125</v>
      </c>
      <c r="M91" s="2">
        <v>125</v>
      </c>
      <c r="N91" s="2">
        <v>125</v>
      </c>
      <c r="O91" s="2">
        <v>125</v>
      </c>
      <c r="P91" s="9"/>
      <c r="Q91" s="2">
        <f>SUM(OSRRefD21_21_0x)+IFERROR(SUM(OSRRefE21_21_0x),0)</f>
        <v>1245</v>
      </c>
    </row>
    <row r="92" spans="1:17" s="35" customFormat="1" hidden="1" outlineLevel="1" x14ac:dyDescent="0.3">
      <c r="A92" s="34"/>
      <c r="B92" s="10" t="str">
        <f>CONCATENATE("          ","6298", " - ","VEHICLE MILEAGE")</f>
        <v xml:space="preserve">          6298 - VEHICLE MILEAGE</v>
      </c>
      <c r="C92" s="14"/>
      <c r="D92" s="2"/>
      <c r="E92" s="2"/>
      <c r="F92" s="2"/>
      <c r="G92" s="2">
        <v>50</v>
      </c>
      <c r="H92" s="2">
        <v>97.08</v>
      </c>
      <c r="I92" s="2"/>
      <c r="J92" s="2"/>
      <c r="K92" s="2"/>
      <c r="L92" s="2"/>
      <c r="M92" s="2"/>
      <c r="N92" s="2"/>
      <c r="O92" s="2"/>
      <c r="P92" s="9"/>
      <c r="Q92" s="2">
        <f>SUM(OSRRefD21_21_1x)+IFERROR(SUM(OSRRefE21_21_1x),0)</f>
        <v>147.07999999999998</v>
      </c>
    </row>
    <row r="93" spans="1:17" s="35" customFormat="1" collapsed="1" x14ac:dyDescent="0.3">
      <c r="A93" s="34"/>
      <c r="B93" s="14" t="str">
        <f>CONCATENATE("     ","Utilities                                         ")</f>
        <v xml:space="preserve">     Utilities                                         </v>
      </c>
      <c r="C93" s="14"/>
      <c r="D93" s="1">
        <f>SUM(OSRRefD21_22x_0)</f>
        <v>6000</v>
      </c>
      <c r="E93" s="1">
        <f>SUM(OSRRefD21_22x_1)</f>
        <v>6000</v>
      </c>
      <c r="F93" s="1">
        <f>SUM(OSRRefD21_22x_2)</f>
        <v>6000</v>
      </c>
      <c r="G93" s="1">
        <f>SUM(OSRRefD21_22x_3)</f>
        <v>6000</v>
      </c>
      <c r="H93" s="1">
        <f>SUM(OSRRefD21_22x_4)</f>
        <v>6000</v>
      </c>
      <c r="I93" s="1">
        <f>SUM(OSRRefD21_22x_5)</f>
        <v>0</v>
      </c>
      <c r="J93" s="1">
        <f>SUM(OSRRefE21_22x_0)</f>
        <v>6000</v>
      </c>
      <c r="K93" s="1">
        <f>SUM(OSRRefE21_22x_1)</f>
        <v>6000</v>
      </c>
      <c r="L93" s="1">
        <f>SUM(OSRRefE21_22x_2)</f>
        <v>6000</v>
      </c>
      <c r="M93" s="1">
        <f>SUM(OSRRefE21_22x_3)</f>
        <v>6000</v>
      </c>
      <c r="N93" s="1">
        <f>SUM(OSRRefE21_22x_4)</f>
        <v>6000</v>
      </c>
      <c r="O93" s="1">
        <f>SUM(OSRRefE21_22x_5)</f>
        <v>6000</v>
      </c>
      <c r="Q93" s="2">
        <f>SUM(OSRRefD20_22x)+IFERROR(SUM(OSRRefE20_22x),0)</f>
        <v>66000</v>
      </c>
    </row>
    <row r="94" spans="1:17" s="35" customFormat="1" hidden="1" outlineLevel="1" x14ac:dyDescent="0.3">
      <c r="A94" s="34"/>
      <c r="B94" s="10" t="str">
        <f>CONCATENATE("          ","6274", " - ","UTILITIES")</f>
        <v xml:space="preserve">          6274 - UTILITIES</v>
      </c>
      <c r="C94" s="14"/>
      <c r="D94" s="2">
        <v>6000</v>
      </c>
      <c r="E94" s="2">
        <v>6000</v>
      </c>
      <c r="F94" s="2">
        <v>6000</v>
      </c>
      <c r="G94" s="2">
        <v>6000</v>
      </c>
      <c r="H94" s="2">
        <v>6000</v>
      </c>
      <c r="I94" s="2"/>
      <c r="J94" s="2">
        <v>6000</v>
      </c>
      <c r="K94" s="2">
        <v>6000</v>
      </c>
      <c r="L94" s="2">
        <v>6000</v>
      </c>
      <c r="M94" s="2">
        <v>6000</v>
      </c>
      <c r="N94" s="2">
        <v>6000</v>
      </c>
      <c r="O94" s="2">
        <v>6000</v>
      </c>
      <c r="P94" s="9"/>
      <c r="Q94" s="2">
        <f>SUM(OSRRefD21_22_0x)+IFERROR(SUM(OSRRefE21_22_0x),0)</f>
        <v>66000</v>
      </c>
    </row>
    <row r="95" spans="1:17" s="29" customFormat="1" x14ac:dyDescent="0.3">
      <c r="A95" s="21"/>
      <c r="B95" s="21"/>
      <c r="C95" s="2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">
      <c r="A96" s="23"/>
      <c r="B96" s="16" t="s">
        <v>293</v>
      </c>
      <c r="C96" s="22"/>
      <c r="D96" s="3">
        <f>--3926.89</f>
        <v>3926.89</v>
      </c>
      <c r="E96" s="3">
        <f>--59022</f>
        <v>59022</v>
      </c>
      <c r="F96" s="3">
        <f>--5282.59</f>
        <v>5282.59</v>
      </c>
      <c r="G96" s="3">
        <f>--9773.49</f>
        <v>9773.49</v>
      </c>
      <c r="H96" s="3">
        <f>--54298.67</f>
        <v>54298.67</v>
      </c>
      <c r="I96" s="3">
        <f>--12449.24</f>
        <v>12449.24</v>
      </c>
      <c r="J96" s="3">
        <v>3300</v>
      </c>
      <c r="K96" s="3">
        <v>46300</v>
      </c>
      <c r="L96" s="3">
        <v>3300</v>
      </c>
      <c r="M96" s="3">
        <v>3300</v>
      </c>
      <c r="N96" s="3">
        <v>46300</v>
      </c>
      <c r="O96" s="3">
        <v>3300</v>
      </c>
      <c r="Q96" s="2">
        <f>SUM(OSRRefD23_0x)+IFERROR(SUM(OSRRefE23_0x),0)</f>
        <v>250552.88</v>
      </c>
    </row>
    <row r="97" spans="1:17" x14ac:dyDescent="0.3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x14ac:dyDescent="0.3">
      <c r="A98" s="6"/>
      <c r="B98" s="17" t="s">
        <v>276</v>
      </c>
      <c r="C98" s="17"/>
      <c r="D98" s="7">
        <f t="shared" ref="D98:O98" si="3">IFERROR(+D15-D18+D96, 0)</f>
        <v>-175748.03</v>
      </c>
      <c r="E98" s="7">
        <f t="shared" si="3"/>
        <v>-107631.48999999996</v>
      </c>
      <c r="F98" s="7">
        <f t="shared" si="3"/>
        <v>-122773.22</v>
      </c>
      <c r="G98" s="7">
        <f t="shared" si="3"/>
        <v>-136502.21</v>
      </c>
      <c r="H98" s="7">
        <f t="shared" si="3"/>
        <v>-70380.360000000015</v>
      </c>
      <c r="I98" s="7">
        <f t="shared" si="3"/>
        <v>-104580.87000000001</v>
      </c>
      <c r="J98" s="7">
        <f t="shared" si="3"/>
        <v>-191858.94616613461</v>
      </c>
      <c r="K98" s="7">
        <f t="shared" si="3"/>
        <v>-78419.397569757683</v>
      </c>
      <c r="L98" s="7">
        <f t="shared" si="3"/>
        <v>-93798.833013257681</v>
      </c>
      <c r="M98" s="7">
        <f t="shared" si="3"/>
        <v>-94198.31055213463</v>
      </c>
      <c r="N98" s="7">
        <f t="shared" si="3"/>
        <v>-49874.098725757678</v>
      </c>
      <c r="O98" s="7">
        <f t="shared" si="3"/>
        <v>-81263.498496557688</v>
      </c>
      <c r="Q98" s="7">
        <f>IFERROR(+Q15-Q18+Q96, 0)</f>
        <v>-1307029.2645236002</v>
      </c>
    </row>
    <row r="99" spans="1:17" s="6" customFormat="1" x14ac:dyDescent="0.3">
      <c r="B99" s="16"/>
      <c r="C99" s="16"/>
      <c r="D99" s="4">
        <f t="shared" ref="D99:O99" si="4">IFERROR(D98/D10, 0)</f>
        <v>0</v>
      </c>
      <c r="E99" s="4">
        <f t="shared" si="4"/>
        <v>0</v>
      </c>
      <c r="F99" s="4">
        <f t="shared" si="4"/>
        <v>0</v>
      </c>
      <c r="G99" s="4">
        <f t="shared" si="4"/>
        <v>0</v>
      </c>
      <c r="H99" s="4">
        <f t="shared" si="4"/>
        <v>0</v>
      </c>
      <c r="I99" s="4">
        <f t="shared" si="4"/>
        <v>0</v>
      </c>
      <c r="J99" s="4">
        <f t="shared" si="4"/>
        <v>0</v>
      </c>
      <c r="K99" s="4">
        <f t="shared" si="4"/>
        <v>0</v>
      </c>
      <c r="L99" s="4">
        <f t="shared" si="4"/>
        <v>0</v>
      </c>
      <c r="M99" s="4">
        <f t="shared" si="4"/>
        <v>0</v>
      </c>
      <c r="N99" s="4">
        <f t="shared" si="4"/>
        <v>0</v>
      </c>
      <c r="O99" s="4">
        <f t="shared" si="4"/>
        <v>0</v>
      </c>
      <c r="P99" s="18"/>
      <c r="Q99" s="4">
        <f>IFERROR(Q98/Q10, 0)</f>
        <v>0</v>
      </c>
    </row>
    <row r="100" spans="1:17" x14ac:dyDescent="0.3">
      <c r="A100" s="5"/>
      <c r="B100" s="6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x14ac:dyDescent="0.3">
      <c r="A101" s="25"/>
      <c r="B101" s="6" t="s">
        <v>125</v>
      </c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2">
        <f>SUM(OSRRefD28_0x)+IFERROR(SUM(OSRRefE28_0x),0)</f>
        <v>0</v>
      </c>
    </row>
    <row r="102" spans="1:17" x14ac:dyDescent="0.3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124</v>
      </c>
      <c r="C103" s="17"/>
      <c r="D103" s="8">
        <f t="shared" ref="D103:O103" si="5">IFERROR(+D98-D101, 0)</f>
        <v>-175748.03</v>
      </c>
      <c r="E103" s="8">
        <f t="shared" si="5"/>
        <v>-107631.48999999996</v>
      </c>
      <c r="F103" s="8">
        <f t="shared" si="5"/>
        <v>-122773.22</v>
      </c>
      <c r="G103" s="8">
        <f t="shared" si="5"/>
        <v>-136502.21</v>
      </c>
      <c r="H103" s="8">
        <f t="shared" si="5"/>
        <v>-70380.360000000015</v>
      </c>
      <c r="I103" s="8">
        <f t="shared" si="5"/>
        <v>-104580.87000000001</v>
      </c>
      <c r="J103" s="8">
        <f t="shared" si="5"/>
        <v>-191858.94616613461</v>
      </c>
      <c r="K103" s="8">
        <f t="shared" si="5"/>
        <v>-78419.397569757683</v>
      </c>
      <c r="L103" s="8">
        <f t="shared" si="5"/>
        <v>-93798.833013257681</v>
      </c>
      <c r="M103" s="8">
        <f t="shared" si="5"/>
        <v>-94198.31055213463</v>
      </c>
      <c r="N103" s="8">
        <f t="shared" si="5"/>
        <v>-49874.098725757678</v>
      </c>
      <c r="O103" s="8">
        <f t="shared" si="5"/>
        <v>-81263.498496557688</v>
      </c>
      <c r="Q103" s="8">
        <f>IFERROR(+Q98-Q101, 0)</f>
        <v>-1307029.2645236002</v>
      </c>
    </row>
    <row r="104" spans="1:17" ht="15" thickTop="1" x14ac:dyDescent="0.3">
      <c r="A104" s="5"/>
      <c r="B104" s="5"/>
      <c r="C104" s="5"/>
      <c r="D104" s="4">
        <f t="shared" ref="D104:O104" si="6">IFERROR(D103/D10, 0)</f>
        <v>0</v>
      </c>
      <c r="E104" s="4">
        <f t="shared" si="6"/>
        <v>0</v>
      </c>
      <c r="F104" s="4">
        <f t="shared" si="6"/>
        <v>0</v>
      </c>
      <c r="G104" s="4">
        <f t="shared" si="6"/>
        <v>0</v>
      </c>
      <c r="H104" s="4">
        <f t="shared" si="6"/>
        <v>0</v>
      </c>
      <c r="I104" s="4">
        <f t="shared" si="6"/>
        <v>0</v>
      </c>
      <c r="J104" s="4">
        <f t="shared" si="6"/>
        <v>0</v>
      </c>
      <c r="K104" s="4">
        <f t="shared" si="6"/>
        <v>0</v>
      </c>
      <c r="L104" s="4">
        <f t="shared" si="6"/>
        <v>0</v>
      </c>
      <c r="M104" s="4">
        <f t="shared" si="6"/>
        <v>0</v>
      </c>
      <c r="N104" s="4">
        <f t="shared" si="6"/>
        <v>0</v>
      </c>
      <c r="O104" s="4">
        <f t="shared" si="6"/>
        <v>0</v>
      </c>
      <c r="P104" s="18"/>
      <c r="Q104" s="4">
        <f>IFERROR(Q103/Q10, 0)</f>
        <v>0</v>
      </c>
    </row>
    <row r="105" spans="1:17" x14ac:dyDescent="0.3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35">
      <c r="A107" s="6"/>
      <c r="B107" s="17" t="s">
        <v>294</v>
      </c>
      <c r="C107" s="17"/>
      <c r="D107" s="8">
        <f t="shared" ref="D107:O107" si="7">IFERROR(SUM(D103:D106), 0)</f>
        <v>-175748.03</v>
      </c>
      <c r="E107" s="8">
        <f t="shared" si="7"/>
        <v>-107631.48999999996</v>
      </c>
      <c r="F107" s="8">
        <f t="shared" si="7"/>
        <v>-122773.22</v>
      </c>
      <c r="G107" s="8">
        <f t="shared" si="7"/>
        <v>-136502.21</v>
      </c>
      <c r="H107" s="8">
        <f t="shared" si="7"/>
        <v>-70380.360000000015</v>
      </c>
      <c r="I107" s="8">
        <f t="shared" si="7"/>
        <v>-104580.87000000001</v>
      </c>
      <c r="J107" s="8">
        <f t="shared" si="7"/>
        <v>-191858.94616613461</v>
      </c>
      <c r="K107" s="8">
        <f t="shared" si="7"/>
        <v>-78419.397569757683</v>
      </c>
      <c r="L107" s="8">
        <f t="shared" si="7"/>
        <v>-93798.833013257681</v>
      </c>
      <c r="M107" s="8">
        <f t="shared" si="7"/>
        <v>-94198.31055213463</v>
      </c>
      <c r="N107" s="8">
        <f t="shared" si="7"/>
        <v>-49874.098725757678</v>
      </c>
      <c r="O107" s="8">
        <f t="shared" si="7"/>
        <v>-81263.498496557688</v>
      </c>
      <c r="Q107" s="8">
        <f>IFERROR(SUM(Q103:Q106), 0)</f>
        <v>-1307029.2645236002</v>
      </c>
    </row>
    <row r="108" spans="1:17" ht="15" thickTop="1" x14ac:dyDescent="0.3">
      <c r="A108" s="5"/>
      <c r="C108" s="5"/>
      <c r="D108" s="4">
        <f t="shared" ref="D108:O108" si="8">IFERROR(D107/D10, 0)</f>
        <v>0</v>
      </c>
      <c r="E108" s="4">
        <f t="shared" si="8"/>
        <v>0</v>
      </c>
      <c r="F108" s="4">
        <f t="shared" si="8"/>
        <v>0</v>
      </c>
      <c r="G108" s="4">
        <f t="shared" si="8"/>
        <v>0</v>
      </c>
      <c r="H108" s="4">
        <f t="shared" si="8"/>
        <v>0</v>
      </c>
      <c r="I108" s="4">
        <f t="shared" si="8"/>
        <v>0</v>
      </c>
      <c r="J108" s="4">
        <f t="shared" si="8"/>
        <v>0</v>
      </c>
      <c r="K108" s="4">
        <f t="shared" si="8"/>
        <v>0</v>
      </c>
      <c r="L108" s="4">
        <f t="shared" si="8"/>
        <v>0</v>
      </c>
      <c r="M108" s="4">
        <f t="shared" si="8"/>
        <v>0</v>
      </c>
      <c r="N108" s="4">
        <f t="shared" si="8"/>
        <v>0</v>
      </c>
      <c r="O108" s="4">
        <f t="shared" si="8"/>
        <v>0</v>
      </c>
      <c r="P108" s="18"/>
      <c r="Q108" s="4">
        <f>IFERROR(Q107/Q10, 0)</f>
        <v>0</v>
      </c>
    </row>
    <row r="109" spans="1:17" x14ac:dyDescent="0.3">
      <c r="A109" s="5"/>
      <c r="B109" s="28">
        <v>44575.850692245367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Q109" s="13"/>
    </row>
    <row r="110" spans="1:17" x14ac:dyDescent="0.3">
      <c r="A110" s="5"/>
      <c r="B110" s="26" t="s">
        <v>54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Q110" s="13"/>
    </row>
    <row r="111" spans="1:17" x14ac:dyDescent="0.3">
      <c r="A111" s="5"/>
      <c r="B111" s="3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Q111" s="13"/>
    </row>
    <row r="112" spans="1:17" x14ac:dyDescent="0.3"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Q11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78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SUM(OSRRefD11x_4)</f>
        <v>14784.730000000001</v>
      </c>
      <c r="I10" s="3">
        <f>SUM(OSRRefD11x_5)</f>
        <v>11601.25</v>
      </c>
      <c r="J10" s="3">
        <f>SUM(OSRRefE11x_0)</f>
        <v>50869</v>
      </c>
      <c r="K10" s="3">
        <f>SUM(OSRRefE11x_1)</f>
        <v>64532</v>
      </c>
      <c r="L10" s="3">
        <f>SUM(OSRRefE11x_2)</f>
        <v>37273</v>
      </c>
      <c r="M10" s="3">
        <f>SUM(OSRRefE11x_3)</f>
        <v>38546</v>
      </c>
      <c r="N10" s="3">
        <f>SUM(OSRRefE11x_4)</f>
        <v>13349</v>
      </c>
      <c r="O10" s="3">
        <f>SUM(OSRRefE11x_5)</f>
        <v>1274</v>
      </c>
      <c r="P10" s="24"/>
      <c r="Q10" s="3">
        <f>SUM(OSRRefG11x)</f>
        <v>299771.32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f>--9822.43</f>
        <v>9822.43</v>
      </c>
      <c r="I11" s="2">
        <f>--8671.83</f>
        <v>8671.83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195382.31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f>--5218.66</f>
        <v>5218.66</v>
      </c>
      <c r="I12" s="2">
        <f>--4265.13</f>
        <v>4265.13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107006.95999999999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>
        <f>-97.23</f>
        <v>-97.23</v>
      </c>
      <c r="I13" s="2">
        <f>-53.97</f>
        <v>-53.97</v>
      </c>
      <c r="J13" s="2"/>
      <c r="K13" s="2"/>
      <c r="L13" s="2"/>
      <c r="M13" s="2"/>
      <c r="N13" s="2"/>
      <c r="O13" s="2"/>
      <c r="Q13" s="2">
        <f>SUM(OSRRefD11_2x)+IFERROR(SUM(OSRRefE11_2x),0)</f>
        <v>-1026.49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>
        <f>-159.13</f>
        <v>-159.13</v>
      </c>
      <c r="I14" s="2">
        <f>-1281.74</f>
        <v>-1281.74</v>
      </c>
      <c r="J14" s="2"/>
      <c r="K14" s="2"/>
      <c r="L14" s="2"/>
      <c r="M14" s="2"/>
      <c r="N14" s="2"/>
      <c r="O14" s="2"/>
      <c r="Q14" s="2">
        <f>SUM(OSRRefD11_3x)+IFERROR(SUM(OSRRefE11_3x),0)</f>
        <v>-1591.46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SUM(OSRRefD14x_4)</f>
        <v>8191.56</v>
      </c>
      <c r="I16" s="3">
        <f>SUM(OSRRefD14x_5)</f>
        <v>7098.52</v>
      </c>
      <c r="J16" s="3">
        <f>SUM(OSRRefE14x_0)</f>
        <v>30632</v>
      </c>
      <c r="K16" s="3">
        <f>SUM(OSRRefE14x_1)</f>
        <v>35964</v>
      </c>
      <c r="L16" s="3">
        <f>SUM(OSRRefE14x_2)</f>
        <v>19274</v>
      </c>
      <c r="M16" s="3">
        <f>SUM(OSRRefE14x_3)</f>
        <v>19985</v>
      </c>
      <c r="N16" s="3">
        <f>SUM(OSRRefE14x_4)</f>
        <v>7003</v>
      </c>
      <c r="O16" s="3">
        <f>SUM(OSRRefE14x_5)</f>
        <v>836</v>
      </c>
      <c r="Q16" s="3">
        <f>SUM(OSRRefG14x)</f>
        <v>167285.54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>
        <v>13695.29</v>
      </c>
      <c r="F17" s="2">
        <v>11537.82</v>
      </c>
      <c r="G17" s="2">
        <v>22158.639999999999</v>
      </c>
      <c r="H17" s="2">
        <v>25133.41</v>
      </c>
      <c r="I17" s="2">
        <v>9742.81</v>
      </c>
      <c r="J17" s="2">
        <v>30632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195961.97</v>
      </c>
    </row>
    <row r="18" spans="1:17" s="9" customFormat="1" hidden="1" outlineLevel="1" x14ac:dyDescent="0.3">
      <c r="A18" s="23"/>
      <c r="B18" s="10" t="str">
        <f>CONCATENATE("          ","5026", " - ","PURCHASES @ COST-WRITING INSTR")</f>
        <v xml:space="preserve">          5026 - PURCHASES @ COST-WRITING INSTR</v>
      </c>
      <c r="C18" s="22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3"/>
      <c r="B22" s="10" t="str">
        <f>CONCATENATE("          ","5042", " - ","PURCHASES @ COST-EVERYDAY GIFT")</f>
        <v xml:space="preserve">          5042 - PURCHASES @ COST-EVERYDAY GIFT</v>
      </c>
      <c r="C22" s="22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3"/>
      <c r="B23" s="10" t="str">
        <f>CONCATENATE("          ","5200", " - ","PURCHASES OFFSET")</f>
        <v xml:space="preserve">          5200 - PURCHASES OFFSET</v>
      </c>
      <c r="C23" s="22"/>
      <c r="D23" s="2"/>
      <c r="E23" s="2">
        <v>-13837.74</v>
      </c>
      <c r="F23" s="2">
        <v>-11589.14</v>
      </c>
      <c r="G23" s="2">
        <v>-22717.1</v>
      </c>
      <c r="H23" s="2">
        <v>-25192.57</v>
      </c>
      <c r="I23" s="2">
        <v>-9920.89</v>
      </c>
      <c r="J23" s="2"/>
      <c r="K23" s="2"/>
      <c r="L23" s="2"/>
      <c r="M23" s="2"/>
      <c r="N23" s="2"/>
      <c r="O23" s="2"/>
      <c r="Q23" s="2">
        <f>SUM(OSRRefD14_6x)+IFERROR(SUM(OSRRefE14_6x),0)</f>
        <v>-83257.439999999988</v>
      </c>
    </row>
    <row r="24" spans="1:17" s="9" customFormat="1" hidden="1" outlineLevel="1" x14ac:dyDescent="0.3">
      <c r="A24" s="23"/>
      <c r="B24" s="10" t="str">
        <f>CONCATENATE("          ","5300", " - ","COG$ OFFSET")</f>
        <v xml:space="preserve">          5300 - COG$ OFFSET</v>
      </c>
      <c r="C24" s="22"/>
      <c r="D24" s="2"/>
      <c r="E24" s="2">
        <v>9685.56</v>
      </c>
      <c r="F24" s="2">
        <v>14774.61</v>
      </c>
      <c r="G24" s="2">
        <v>13841.29</v>
      </c>
      <c r="H24" s="2">
        <v>8191.56</v>
      </c>
      <c r="I24" s="2">
        <v>7098.52</v>
      </c>
      <c r="J24" s="2"/>
      <c r="K24" s="2"/>
      <c r="L24" s="2"/>
      <c r="M24" s="2"/>
      <c r="N24" s="2"/>
      <c r="O24" s="2"/>
      <c r="Q24" s="2">
        <f>SUM(OSRRefD14_7x)+IFERROR(SUM(OSRRefE14_7x),0)</f>
        <v>53591.539999999994</v>
      </c>
    </row>
    <row r="25" spans="1:17" s="9" customFormat="1" hidden="1" outlineLevel="1" x14ac:dyDescent="0.3">
      <c r="A25" s="23"/>
      <c r="B25" s="10" t="str">
        <f>CONCATENATE("          ","5500", " - ","FREIGHT-IN")</f>
        <v xml:space="preserve">          5500 - FREIGHT-IN</v>
      </c>
      <c r="C25" s="22"/>
      <c r="D25" s="2"/>
      <c r="E25" s="2">
        <v>142.44999999999999</v>
      </c>
      <c r="F25" s="2">
        <v>51.32</v>
      </c>
      <c r="G25" s="2">
        <v>558.46</v>
      </c>
      <c r="H25" s="2">
        <v>59.16</v>
      </c>
      <c r="I25" s="2">
        <v>178.08</v>
      </c>
      <c r="J25" s="2"/>
      <c r="K25" s="2"/>
      <c r="L25" s="2"/>
      <c r="M25" s="2"/>
      <c r="N25" s="2"/>
      <c r="O25" s="2"/>
      <c r="Q25" s="2">
        <f>SUM(OSRRefD14_8x)+IFERROR(SUM(OSRRefE14_8x),0)</f>
        <v>989.47</v>
      </c>
    </row>
    <row r="26" spans="1:17" s="9" customFormat="1" hidden="1" outlineLevel="1" x14ac:dyDescent="0.3">
      <c r="A26" s="23"/>
      <c r="B26" s="10" t="str">
        <f>CONCATENATE("          ","5528", " - ","FREIGHT-IN-ART/TECH")</f>
        <v xml:space="preserve">          5528 - FREIGHT-IN-ART/TECH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7">
        <f t="shared" ref="D28:O28" si="2">IFERROR(+D10-D16, 0)</f>
        <v>0</v>
      </c>
      <c r="E28" s="7">
        <f t="shared" si="2"/>
        <v>6828.98</v>
      </c>
      <c r="F28" s="7">
        <f t="shared" si="2"/>
        <v>10886.160000000003</v>
      </c>
      <c r="G28" s="7">
        <f t="shared" si="2"/>
        <v>11525.739999999998</v>
      </c>
      <c r="H28" s="7">
        <f t="shared" si="2"/>
        <v>6593.170000000001</v>
      </c>
      <c r="I28" s="7">
        <f t="shared" si="2"/>
        <v>4502.7299999999996</v>
      </c>
      <c r="J28" s="7">
        <f t="shared" si="2"/>
        <v>20237</v>
      </c>
      <c r="K28" s="7">
        <f t="shared" si="2"/>
        <v>28568</v>
      </c>
      <c r="L28" s="7">
        <f t="shared" si="2"/>
        <v>17999</v>
      </c>
      <c r="M28" s="7">
        <f t="shared" si="2"/>
        <v>18561</v>
      </c>
      <c r="N28" s="7">
        <f t="shared" si="2"/>
        <v>6346</v>
      </c>
      <c r="O28" s="7">
        <f t="shared" si="2"/>
        <v>438</v>
      </c>
      <c r="Q28" s="7">
        <f>IFERROR(+Q10-Q16, 0)</f>
        <v>132485.78</v>
      </c>
    </row>
    <row r="29" spans="1:17" s="6" customFormat="1" x14ac:dyDescent="0.3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0.44594456577834024</v>
      </c>
      <c r="I29" s="4">
        <f t="shared" si="3"/>
        <v>0.3881245555435836</v>
      </c>
      <c r="J29" s="4">
        <f t="shared" si="3"/>
        <v>0.39782578780789873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0.44195615511183656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763</v>
      </c>
      <c r="E31" s="12">
        <f>SUM(OSRRefD20x_1)</f>
        <v>3490.5</v>
      </c>
      <c r="F31" s="12">
        <f>SUM(OSRRefD20x_2)</f>
        <v>1344.8000000000002</v>
      </c>
      <c r="G31" s="12">
        <f>SUM(OSRRefD20x_3)</f>
        <v>8618.59</v>
      </c>
      <c r="H31" s="12">
        <f>SUM(OSRRefD20x_4)</f>
        <v>6777.83</v>
      </c>
      <c r="I31" s="12">
        <f>SUM(OSRRefD20x_5)</f>
        <v>6524.0100000000011</v>
      </c>
      <c r="J31" s="12">
        <f>SUM(OSRRefE20x_0)</f>
        <v>13374.060864999999</v>
      </c>
      <c r="K31" s="12">
        <f>SUM(OSRRefE20x_1)</f>
        <v>11279.848692</v>
      </c>
      <c r="L31" s="12">
        <f>SUM(OSRRefE20x_2)</f>
        <v>10748.848692</v>
      </c>
      <c r="M31" s="12">
        <f>SUM(OSRRefE20x_3)</f>
        <v>13075.060864999999</v>
      </c>
      <c r="N31" s="12">
        <f>SUM(OSRRefE20x_4)</f>
        <v>10322.848692</v>
      </c>
      <c r="O31" s="12">
        <f>SUM(OSRRefE20x_5)</f>
        <v>10616.186454000001</v>
      </c>
      <c r="Q31" s="12">
        <f>SUM(OSRRefG20x)</f>
        <v>96935.584260000003</v>
      </c>
    </row>
    <row r="32" spans="1:17" s="35" customFormat="1" collapsed="1" x14ac:dyDescent="0.3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SUM(OSRRefD21_0x_4)</f>
        <v>95.39</v>
      </c>
      <c r="I32" s="1">
        <f>SUM(OSRRefD21_0x_5)</f>
        <v>153.04999999999998</v>
      </c>
      <c r="J32" s="1">
        <f>SUM(OSRRefE21_0x_0)</f>
        <v>767.21086500000001</v>
      </c>
      <c r="K32" s="1">
        <f>SUM(OSRRefE21_0x_1)</f>
        <v>613.76869199999999</v>
      </c>
      <c r="L32" s="1">
        <f>SUM(OSRRefE21_0x_2)</f>
        <v>613.76869199999999</v>
      </c>
      <c r="M32" s="1">
        <f>SUM(OSRRefE21_0x_3)</f>
        <v>767.21086500000001</v>
      </c>
      <c r="N32" s="1">
        <f>SUM(OSRRefE21_0x_4)</f>
        <v>613.76869199999999</v>
      </c>
      <c r="O32" s="1">
        <f>SUM(OSRRefE21_0x_5)</f>
        <v>1123.106454</v>
      </c>
      <c r="Q32" s="2">
        <f>SUM(OSRRefD20_0x)+IFERROR(SUM(OSRRefE20_0x),0)</f>
        <v>4877.6342600000007</v>
      </c>
    </row>
    <row r="33" spans="1:17" s="35" customFormat="1" hidden="1" outlineLevel="1" x14ac:dyDescent="0.3">
      <c r="A33" s="34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/>
      <c r="I33" s="2">
        <v>59.97</v>
      </c>
      <c r="J33" s="2">
        <v>196.52904000000001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1601.5687700000001</v>
      </c>
    </row>
    <row r="34" spans="1:17" s="35" customFormat="1" hidden="1" outlineLevel="1" x14ac:dyDescent="0.3">
      <c r="A34" s="34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81.14</v>
      </c>
      <c r="I34" s="2">
        <v>79.17</v>
      </c>
      <c r="J34" s="2">
        <v>169.84110000000001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1145.5937200000001</v>
      </c>
    </row>
    <row r="35" spans="1:17" s="35" customFormat="1" hidden="1" outlineLevel="1" x14ac:dyDescent="0.3">
      <c r="A35" s="34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5" customFormat="1" hidden="1" outlineLevel="1" x14ac:dyDescent="0.3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14.25</v>
      </c>
      <c r="I36" s="2">
        <v>13.91</v>
      </c>
      <c r="J36" s="2">
        <v>22.863225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164.98876999999999</v>
      </c>
    </row>
    <row r="37" spans="1:17" s="35" customFormat="1" hidden="1" outlineLevel="1" x14ac:dyDescent="0.3">
      <c r="A37" s="34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5" customFormat="1" hidden="1" outlineLevel="1" x14ac:dyDescent="0.3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">
      <c r="A39" s="34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5" customFormat="1" hidden="1" outlineLevel="1" x14ac:dyDescent="0.3">
      <c r="A40" s="34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/>
      <c r="I40" s="2"/>
      <c r="J40" s="2">
        <v>377.97750000000002</v>
      </c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1965.4830000000002</v>
      </c>
    </row>
    <row r="41" spans="1:17" s="35" customFormat="1" collapsed="1" x14ac:dyDescent="0.3">
      <c r="A41" s="34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SUM(OSRRefD21_1x_4)</f>
        <v>4766.68</v>
      </c>
      <c r="I41" s="1">
        <f>SUM(OSRRefD21_1x_5)</f>
        <v>5071.58</v>
      </c>
      <c r="J41" s="1">
        <f>SUM(OSRRefE21_1x_0)</f>
        <v>10758.85</v>
      </c>
      <c r="K41" s="1">
        <f>SUM(OSRRefE21_1x_1)</f>
        <v>8607.08</v>
      </c>
      <c r="L41" s="1">
        <f>SUM(OSRRefE21_1x_2)</f>
        <v>8607.08</v>
      </c>
      <c r="M41" s="1">
        <f>SUM(OSRRefE21_1x_3)</f>
        <v>10758.85</v>
      </c>
      <c r="N41" s="1">
        <f>SUM(OSRRefE21_1x_4)</f>
        <v>8607.08</v>
      </c>
      <c r="O41" s="1">
        <f>SUM(OSRRefE21_1x_5)</f>
        <v>8607.08</v>
      </c>
      <c r="Q41" s="2">
        <f>SUM(OSRRefD20_1x)+IFERROR(SUM(OSRRefE20_1x),0)</f>
        <v>71741.19</v>
      </c>
    </row>
    <row r="42" spans="1:17" s="35" customFormat="1" hidden="1" outlineLevel="1" x14ac:dyDescent="0.3">
      <c r="A42" s="34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5" customFormat="1" hidden="1" outlineLevel="1" x14ac:dyDescent="0.3">
      <c r="A43" s="34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5" customFormat="1" hidden="1" outlineLevel="1" x14ac:dyDescent="0.3">
      <c r="A44" s="34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5" customFormat="1" hidden="1" outlineLevel="1" x14ac:dyDescent="0.3">
      <c r="A45" s="34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/>
      <c r="I45" s="2">
        <v>783.61</v>
      </c>
      <c r="J45" s="2">
        <v>2439.6</v>
      </c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13469.53</v>
      </c>
    </row>
    <row r="46" spans="1:17" s="35" customFormat="1" hidden="1" outlineLevel="1" x14ac:dyDescent="0.3">
      <c r="A46" s="34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134.81</v>
      </c>
    </row>
    <row r="47" spans="1:17" s="35" customFormat="1" hidden="1" outlineLevel="1" x14ac:dyDescent="0.3">
      <c r="A47" s="34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5" customFormat="1" hidden="1" outlineLevel="1" x14ac:dyDescent="0.3">
      <c r="A48" s="34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3684.6</v>
      </c>
      <c r="I48" s="2">
        <v>3436.96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18780.449999999997</v>
      </c>
    </row>
    <row r="49" spans="1:17" s="35" customFormat="1" hidden="1" outlineLevel="1" x14ac:dyDescent="0.3">
      <c r="A49" s="34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1082.08</v>
      </c>
      <c r="I49" s="2">
        <v>851.01</v>
      </c>
      <c r="J49" s="2">
        <v>8319.25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39356.399999999994</v>
      </c>
    </row>
    <row r="50" spans="1:17" s="35" customFormat="1" hidden="1" outlineLevel="1" x14ac:dyDescent="0.3">
      <c r="A50" s="34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5" customFormat="1" hidden="1" outlineLevel="1" x14ac:dyDescent="0.3">
      <c r="A51" s="34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/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5" customFormat="1" collapsed="1" x14ac:dyDescent="0.3">
      <c r="A52" s="34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SUM(OSRRefD21_2x_4)</f>
        <v>1019.63</v>
      </c>
      <c r="I52" s="1">
        <f>SUM(OSRRefD21_2x_5)</f>
        <v>0</v>
      </c>
      <c r="J52" s="1">
        <f>SUM(OSRRefE21_2x_0)</f>
        <v>50</v>
      </c>
      <c r="K52" s="1">
        <f>SUM(OSRRefE21_2x_1)</f>
        <v>50</v>
      </c>
      <c r="L52" s="1">
        <f>SUM(OSRRefE21_2x_2)</f>
        <v>50</v>
      </c>
      <c r="M52" s="1">
        <f>SUM(OSRRefE21_2x_3)</f>
        <v>50</v>
      </c>
      <c r="N52" s="1">
        <f>SUM(OSRRefE21_2x_4)</f>
        <v>50</v>
      </c>
      <c r="O52" s="1">
        <f>SUM(OSRRefE21_2x_5)</f>
        <v>50</v>
      </c>
      <c r="Q52" s="2">
        <f>SUM(OSRRefD20_2x)+IFERROR(SUM(OSRRefE20_2x),0)</f>
        <v>1488.43</v>
      </c>
    </row>
    <row r="53" spans="1:17" s="35" customFormat="1" hidden="1" outlineLevel="1" x14ac:dyDescent="0.3">
      <c r="A53" s="34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1019.63</v>
      </c>
      <c r="I53" s="2"/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1488.43</v>
      </c>
    </row>
    <row r="54" spans="1:17" s="35" customFormat="1" collapsed="1" x14ac:dyDescent="0.3">
      <c r="A54" s="34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SUM(OSRRefD21_3x_4)</f>
        <v>-0.57999999999999996</v>
      </c>
      <c r="I54" s="1">
        <f>SUM(OSRRefD21_3x_5)</f>
        <v>0.02</v>
      </c>
      <c r="J54" s="1">
        <f>SUM(OSRRefE21_3x_0)</f>
        <v>25</v>
      </c>
      <c r="K54" s="1">
        <f>SUM(OSRRefE21_3x_1)</f>
        <v>25</v>
      </c>
      <c r="L54" s="1">
        <f>SUM(OSRRefE21_3x_2)</f>
        <v>25</v>
      </c>
      <c r="M54" s="1">
        <f>SUM(OSRRefE21_3x_3)</f>
        <v>25</v>
      </c>
      <c r="N54" s="1">
        <f>SUM(OSRRefE21_3x_4)</f>
        <v>25</v>
      </c>
      <c r="O54" s="1">
        <f>SUM(OSRRefE21_3x_5)</f>
        <v>25</v>
      </c>
      <c r="Q54" s="2">
        <f>SUM(OSRRefD20_3x)+IFERROR(SUM(OSRRefE20_3x),0)</f>
        <v>146.55000000000001</v>
      </c>
    </row>
    <row r="55" spans="1:17" s="35" customFormat="1" hidden="1" outlineLevel="1" x14ac:dyDescent="0.3">
      <c r="A55" s="34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-0.57999999999999996</v>
      </c>
      <c r="I55" s="2">
        <v>0.02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146.55000000000001</v>
      </c>
    </row>
    <row r="56" spans="1:17" s="35" customFormat="1" collapsed="1" x14ac:dyDescent="0.3">
      <c r="A56" s="34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SUM(OSRRefD21_4x_4)</f>
        <v>0</v>
      </c>
      <c r="I56" s="1">
        <f>SUM(OSRRefD21_4x_5)</f>
        <v>0</v>
      </c>
      <c r="J56" s="1">
        <f>SUM(OSRRefE21_4x_0)</f>
        <v>988</v>
      </c>
      <c r="K56" s="1">
        <f>SUM(OSRRefE21_4x_1)</f>
        <v>1199</v>
      </c>
      <c r="L56" s="1">
        <f>SUM(OSRRefE21_4x_2)</f>
        <v>668</v>
      </c>
      <c r="M56" s="1">
        <f>SUM(OSRRefE21_4x_3)</f>
        <v>689</v>
      </c>
      <c r="N56" s="1">
        <f>SUM(OSRRefE21_4x_4)</f>
        <v>242</v>
      </c>
      <c r="O56" s="1">
        <f>SUM(OSRRefE21_4x_5)</f>
        <v>26</v>
      </c>
      <c r="Q56" s="2">
        <f>SUM(OSRRefD20_4x)+IFERROR(SUM(OSRRefE20_4x),0)</f>
        <v>3812</v>
      </c>
    </row>
    <row r="57" spans="1:17" s="35" customFormat="1" hidden="1" outlineLevel="1" x14ac:dyDescent="0.3">
      <c r="A57" s="34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/>
      <c r="I57" s="2"/>
      <c r="J57" s="2">
        <v>988</v>
      </c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3812</v>
      </c>
    </row>
    <row r="58" spans="1:17" s="35" customFormat="1" collapsed="1" x14ac:dyDescent="0.3">
      <c r="A58" s="34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SUM(OSRRefD21_5x_4)</f>
        <v>2.19</v>
      </c>
      <c r="I58" s="1">
        <f>SUM(OSRRefD21_5x_5)</f>
        <v>12.46</v>
      </c>
      <c r="J58" s="1">
        <f>SUM(OSRRefE21_5x_0)</f>
        <v>0</v>
      </c>
      <c r="K58" s="1">
        <f>SUM(OSRRefE21_5x_1)</f>
        <v>0</v>
      </c>
      <c r="L58" s="1">
        <f>SUM(OSRRefE21_5x_2)</f>
        <v>0</v>
      </c>
      <c r="M58" s="1">
        <f>SUM(OSRRefE21_5x_3)</f>
        <v>0</v>
      </c>
      <c r="N58" s="1">
        <f>SUM(OSRRefE21_5x_4)</f>
        <v>0</v>
      </c>
      <c r="O58" s="1">
        <f>SUM(OSRRefE21_5x_5)</f>
        <v>0</v>
      </c>
      <c r="Q58" s="2">
        <f>SUM(OSRRefD20_5x)+IFERROR(SUM(OSRRefE20_5x),0)</f>
        <v>-28.89</v>
      </c>
    </row>
    <row r="59" spans="1:17" s="35" customFormat="1" hidden="1" outlineLevel="1" x14ac:dyDescent="0.3">
      <c r="A59" s="34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>
        <v>2.19</v>
      </c>
      <c r="I59" s="2">
        <v>12.46</v>
      </c>
      <c r="J59" s="2"/>
      <c r="K59" s="2"/>
      <c r="L59" s="2"/>
      <c r="M59" s="2"/>
      <c r="N59" s="2"/>
      <c r="O59" s="2"/>
      <c r="P59" s="9"/>
      <c r="Q59" s="2">
        <f>SUM(OSRRefD21_5_0x)+IFERROR(SUM(OSRRefE21_5_0x),0)</f>
        <v>-28.89</v>
      </c>
    </row>
    <row r="60" spans="1:17" s="35" customFormat="1" collapsed="1" x14ac:dyDescent="0.3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SUM(OSRRefD21_6x_4)</f>
        <v>0</v>
      </c>
      <c r="I60" s="1">
        <f>SUM(OSRRefD21_6x_5)</f>
        <v>0</v>
      </c>
      <c r="J60" s="1">
        <f>SUM(OSRRefE21_6x_0)</f>
        <v>0</v>
      </c>
      <c r="K60" s="1">
        <f>SUM(OSRRefE21_6x_1)</f>
        <v>0</v>
      </c>
      <c r="L60" s="1">
        <f>SUM(OSRRefE21_6x_2)</f>
        <v>0</v>
      </c>
      <c r="M60" s="1">
        <f>SUM(OSRRefE21_6x_3)</f>
        <v>0</v>
      </c>
      <c r="N60" s="1">
        <f>SUM(OSRRefE21_6x_4)</f>
        <v>0</v>
      </c>
      <c r="O60" s="1">
        <f>SUM(OSRRefE21_6x_5)</f>
        <v>0</v>
      </c>
      <c r="Q60" s="2">
        <f>SUM(OSRRefD20_6x)+IFERROR(SUM(OSRRefE20_6x),0)</f>
        <v>54.5</v>
      </c>
    </row>
    <row r="61" spans="1:17" s="35" customFormat="1" hidden="1" outlineLevel="1" x14ac:dyDescent="0.3">
      <c r="A61" s="34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5" customFormat="1" collapsed="1" x14ac:dyDescent="0.3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SUM(OSRRefD21_7x_4)</f>
        <v>0</v>
      </c>
      <c r="I62" s="1">
        <f>SUM(OSRRefD21_7x_5)</f>
        <v>160</v>
      </c>
      <c r="J62" s="1">
        <f>SUM(OSRRefE21_7x_0)</f>
        <v>0</v>
      </c>
      <c r="K62" s="1">
        <f>SUM(OSRRefE21_7x_1)</f>
        <v>0</v>
      </c>
      <c r="L62" s="1">
        <f>SUM(OSRRefE21_7x_2)</f>
        <v>0</v>
      </c>
      <c r="M62" s="1">
        <f>SUM(OSRRefE21_7x_3)</f>
        <v>0</v>
      </c>
      <c r="N62" s="1">
        <f>SUM(OSRRefE21_7x_4)</f>
        <v>0</v>
      </c>
      <c r="O62" s="1">
        <f>SUM(OSRRefE21_7x_5)</f>
        <v>0</v>
      </c>
      <c r="Q62" s="2">
        <f>SUM(OSRRefD20_7x)+IFERROR(SUM(OSRRefE20_7x),0)</f>
        <v>388.03999999999996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/>
      <c r="I63" s="2">
        <v>160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388.03999999999996</v>
      </c>
    </row>
    <row r="64" spans="1:17" s="35" customFormat="1" collapsed="1" x14ac:dyDescent="0.3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SUM(OSRRefD21_8x_4)</f>
        <v>650</v>
      </c>
      <c r="I64" s="1">
        <f>SUM(OSRRefD21_8x_5)</f>
        <v>650</v>
      </c>
      <c r="J64" s="1">
        <f>SUM(OSRRefE21_8x_0)</f>
        <v>650</v>
      </c>
      <c r="K64" s="1">
        <f>SUM(OSRRefE21_8x_1)</f>
        <v>650</v>
      </c>
      <c r="L64" s="1">
        <f>SUM(OSRRefE21_8x_2)</f>
        <v>650</v>
      </c>
      <c r="M64" s="1">
        <f>SUM(OSRRefE21_8x_3)</f>
        <v>650</v>
      </c>
      <c r="N64" s="1">
        <f>SUM(OSRRefE21_8x_4)</f>
        <v>650</v>
      </c>
      <c r="O64" s="1">
        <f>SUM(OSRRefE21_8x_5)</f>
        <v>650</v>
      </c>
      <c r="Q64" s="2">
        <f>SUM(OSRRefD20_8x)+IFERROR(SUM(OSRRefE20_8x),0)</f>
        <v>7800</v>
      </c>
    </row>
    <row r="65" spans="1:17" s="35" customFormat="1" hidden="1" outlineLevel="1" x14ac:dyDescent="0.3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5" customFormat="1" collapsed="1" x14ac:dyDescent="0.3">
      <c r="A66" s="34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SUM(OSRRefD21_9x_4)</f>
        <v>0</v>
      </c>
      <c r="I66" s="1">
        <f>SUM(OSRRefD21_9x_5)</f>
        <v>139.06</v>
      </c>
      <c r="J66" s="1">
        <f>SUM(OSRRefE21_9x_0)</f>
        <v>0</v>
      </c>
      <c r="K66" s="1">
        <f>SUM(OSRRefE21_9x_1)</f>
        <v>0</v>
      </c>
      <c r="L66" s="1">
        <f>SUM(OSRRefE21_9x_2)</f>
        <v>0</v>
      </c>
      <c r="M66" s="1">
        <f>SUM(OSRRefE21_9x_3)</f>
        <v>0</v>
      </c>
      <c r="N66" s="1">
        <f>SUM(OSRRefE21_9x_4)</f>
        <v>0</v>
      </c>
      <c r="O66" s="1">
        <f>SUM(OSRRefE21_9x_5)</f>
        <v>0</v>
      </c>
      <c r="Q66" s="2">
        <f>SUM(OSRRefD20_9x)+IFERROR(SUM(OSRRefE20_9x),0)</f>
        <v>383.39</v>
      </c>
    </row>
    <row r="67" spans="1:17" s="35" customFormat="1" hidden="1" outlineLevel="1" x14ac:dyDescent="0.3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>
        <v>139.06</v>
      </c>
      <c r="J67" s="2"/>
      <c r="K67" s="2"/>
      <c r="L67" s="2"/>
      <c r="M67" s="2"/>
      <c r="N67" s="2"/>
      <c r="O67" s="2"/>
      <c r="P67" s="9"/>
      <c r="Q67" s="2">
        <f>SUM(OSRRefD21_9_0x)+IFERROR(SUM(OSRRefE21_9_0x),0)</f>
        <v>200.17000000000002</v>
      </c>
    </row>
    <row r="68" spans="1:17" s="35" customFormat="1" hidden="1" outlineLevel="1" x14ac:dyDescent="0.3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5" customFormat="1" collapsed="1" x14ac:dyDescent="0.3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SUM(OSRRefD21_10x_4)</f>
        <v>123.45</v>
      </c>
      <c r="I69" s="1">
        <f>SUM(OSRRefD21_10x_5)</f>
        <v>273.81</v>
      </c>
      <c r="J69" s="1">
        <f>SUM(OSRRefE21_10x_0)</f>
        <v>0</v>
      </c>
      <c r="K69" s="1">
        <f>SUM(OSRRefE21_10x_1)</f>
        <v>0</v>
      </c>
      <c r="L69" s="1">
        <f>SUM(OSRRefE21_10x_2)</f>
        <v>0</v>
      </c>
      <c r="M69" s="1">
        <f>SUM(OSRRefE21_10x_3)</f>
        <v>0</v>
      </c>
      <c r="N69" s="1">
        <f>SUM(OSRRefE21_10x_4)</f>
        <v>0</v>
      </c>
      <c r="O69" s="1">
        <f>SUM(OSRRefE21_10x_5)</f>
        <v>0</v>
      </c>
      <c r="Q69" s="2">
        <f>SUM(OSRRefD20_10x)+IFERROR(SUM(OSRRefE20_10x),0)</f>
        <v>3437.2499999999995</v>
      </c>
    </row>
    <row r="70" spans="1:17" s="35" customFormat="1" hidden="1" outlineLevel="1" x14ac:dyDescent="0.3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>
        <v>138</v>
      </c>
      <c r="J70" s="2"/>
      <c r="K70" s="2"/>
      <c r="L70" s="2"/>
      <c r="M70" s="2"/>
      <c r="N70" s="2"/>
      <c r="O70" s="2"/>
      <c r="P70" s="9"/>
      <c r="Q70" s="2">
        <f>SUM(OSRRefD21_10_0x)+IFERROR(SUM(OSRRefE21_10_0x),0)</f>
        <v>629.6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>
        <v>123.45</v>
      </c>
      <c r="I71" s="2">
        <v>135.81</v>
      </c>
      <c r="J71" s="2"/>
      <c r="K71" s="2"/>
      <c r="L71" s="2"/>
      <c r="M71" s="2"/>
      <c r="N71" s="2"/>
      <c r="O71" s="2"/>
      <c r="P71" s="9"/>
      <c r="Q71" s="2">
        <f>SUM(OSRRefD21_10_1x)+IFERROR(SUM(OSRRefE21_10_1x),0)</f>
        <v>2807.6499999999996</v>
      </c>
    </row>
    <row r="72" spans="1:17" s="35" customFormat="1" collapsed="1" x14ac:dyDescent="0.3">
      <c r="A72" s="34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SUM(OSRRefD21_11x_4)</f>
        <v>68.069999999999993</v>
      </c>
      <c r="I72" s="1">
        <f>SUM(OSRRefD21_11x_5)</f>
        <v>11.03</v>
      </c>
      <c r="J72" s="1">
        <f>SUM(OSRRefE21_11x_0)</f>
        <v>75</v>
      </c>
      <c r="K72" s="1">
        <f>SUM(OSRRefE21_11x_1)</f>
        <v>75</v>
      </c>
      <c r="L72" s="1">
        <f>SUM(OSRRefE21_11x_2)</f>
        <v>75</v>
      </c>
      <c r="M72" s="1">
        <f>SUM(OSRRefE21_11x_3)</f>
        <v>75</v>
      </c>
      <c r="N72" s="1">
        <f>SUM(OSRRefE21_11x_4)</f>
        <v>75</v>
      </c>
      <c r="O72" s="1">
        <f>SUM(OSRRefE21_11x_5)</f>
        <v>75</v>
      </c>
      <c r="Q72" s="2">
        <f>SUM(OSRRefD20_11x)+IFERROR(SUM(OSRRefE20_11x),0)</f>
        <v>2197.4899999999998</v>
      </c>
    </row>
    <row r="73" spans="1:17" s="35" customFormat="1" hidden="1" outlineLevel="1" x14ac:dyDescent="0.3">
      <c r="A73" s="34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>
        <v>46.03</v>
      </c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1393.55</v>
      </c>
    </row>
    <row r="74" spans="1:17" s="35" customFormat="1" hidden="1" outlineLevel="1" x14ac:dyDescent="0.3">
      <c r="A74" s="34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/>
      <c r="I74" s="2"/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150</v>
      </c>
    </row>
    <row r="75" spans="1:17" s="35" customFormat="1" hidden="1" outlineLevel="1" x14ac:dyDescent="0.3">
      <c r="A75" s="34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/>
      <c r="I75" s="2">
        <v>11.03</v>
      </c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161.03</v>
      </c>
    </row>
    <row r="76" spans="1:17" s="35" customFormat="1" hidden="1" outlineLevel="1" x14ac:dyDescent="0.3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22.04</v>
      </c>
      <c r="I76" s="2"/>
      <c r="J76" s="2">
        <v>25</v>
      </c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492.91</v>
      </c>
    </row>
    <row r="77" spans="1:17" s="35" customFormat="1" collapsed="1" x14ac:dyDescent="0.3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SUM(OSRRefD21_12x_4)</f>
        <v>53</v>
      </c>
      <c r="I77" s="1">
        <f>SUM(OSRRefD21_12x_5)</f>
        <v>53</v>
      </c>
      <c r="J77" s="1">
        <f>SUM(OSRRefE21_12x_0)</f>
        <v>60</v>
      </c>
      <c r="K77" s="1">
        <f>SUM(OSRRefE21_12x_1)</f>
        <v>60</v>
      </c>
      <c r="L77" s="1">
        <f>SUM(OSRRefE21_12x_2)</f>
        <v>60</v>
      </c>
      <c r="M77" s="1">
        <f>SUM(OSRRefE21_12x_3)</f>
        <v>60</v>
      </c>
      <c r="N77" s="1">
        <f>SUM(OSRRefE21_12x_4)</f>
        <v>60</v>
      </c>
      <c r="O77" s="1">
        <f>SUM(OSRRefE21_12x_5)</f>
        <v>60</v>
      </c>
      <c r="Q77" s="2">
        <f>SUM(OSRRefD20_12x)+IFERROR(SUM(OSRRefE20_12x),0)</f>
        <v>638</v>
      </c>
    </row>
    <row r="78" spans="1:17" s="35" customFormat="1" hidden="1" outlineLevel="1" x14ac:dyDescent="0.3">
      <c r="A78" s="34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53</v>
      </c>
      <c r="I78" s="2">
        <v>53</v>
      </c>
      <c r="J78" s="2">
        <v>60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638</v>
      </c>
    </row>
    <row r="79" spans="1:17" s="29" customFormat="1" x14ac:dyDescent="0.3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">
      <c r="A80" s="23"/>
      <c r="B80" s="16" t="s">
        <v>293</v>
      </c>
      <c r="C80" s="22"/>
      <c r="D80" s="3">
        <f t="shared" ref="D80:I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>
        <f t="shared" si="4"/>
        <v>0</v>
      </c>
      <c r="I80" s="3">
        <f t="shared" si="4"/>
        <v>0</v>
      </c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3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6"/>
      <c r="B82" s="17" t="s">
        <v>276</v>
      </c>
      <c r="C82" s="17"/>
      <c r="D82" s="7">
        <f t="shared" ref="D82:O82" si="5">IFERROR(+D28-D31+D80, 0)</f>
        <v>-763</v>
      </c>
      <c r="E82" s="7">
        <f t="shared" si="5"/>
        <v>3338.4799999999996</v>
      </c>
      <c r="F82" s="7">
        <f t="shared" si="5"/>
        <v>9541.3600000000042</v>
      </c>
      <c r="G82" s="7">
        <f t="shared" si="5"/>
        <v>2907.1499999999978</v>
      </c>
      <c r="H82" s="7">
        <f t="shared" si="5"/>
        <v>-184.65999999999894</v>
      </c>
      <c r="I82" s="7">
        <f t="shared" si="5"/>
        <v>-2021.2800000000016</v>
      </c>
      <c r="J82" s="7">
        <f t="shared" si="5"/>
        <v>6862.9391350000005</v>
      </c>
      <c r="K82" s="7">
        <f t="shared" si="5"/>
        <v>17288.151308</v>
      </c>
      <c r="L82" s="7">
        <f t="shared" si="5"/>
        <v>7250.1513080000004</v>
      </c>
      <c r="M82" s="7">
        <f t="shared" si="5"/>
        <v>5485.9391350000005</v>
      </c>
      <c r="N82" s="7">
        <f t="shared" si="5"/>
        <v>-3976.8486919999996</v>
      </c>
      <c r="O82" s="7">
        <f t="shared" si="5"/>
        <v>-10178.186454000001</v>
      </c>
      <c r="Q82" s="7">
        <f>IFERROR(+Q28-Q31+Q80, 0)</f>
        <v>35550.195739999996</v>
      </c>
    </row>
    <row r="83" spans="1:17" s="6" customFormat="1" x14ac:dyDescent="0.3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-1.2489913579754174E-2</v>
      </c>
      <c r="I83" s="4">
        <f t="shared" si="6"/>
        <v>-0.17422950113134375</v>
      </c>
      <c r="J83" s="4">
        <f t="shared" si="6"/>
        <v>0.13491397776641964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0.11859105047140599</v>
      </c>
    </row>
    <row r="84" spans="1:17" x14ac:dyDescent="0.3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1998.78</v>
      </c>
      <c r="I85" s="3">
        <v>1500.11</v>
      </c>
      <c r="J85" s="3">
        <v>5238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30275.230000000003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124</v>
      </c>
      <c r="C87" s="17"/>
      <c r="D87" s="8">
        <f t="shared" ref="D87:O87" si="7">IFERROR(+D82-D85, 0)</f>
        <v>-763</v>
      </c>
      <c r="E87" s="8">
        <f t="shared" si="7"/>
        <v>870.6599999999994</v>
      </c>
      <c r="F87" s="8">
        <f t="shared" si="7"/>
        <v>6788.9000000000042</v>
      </c>
      <c r="G87" s="8">
        <f t="shared" si="7"/>
        <v>320.08999999999787</v>
      </c>
      <c r="H87" s="8">
        <f t="shared" si="7"/>
        <v>-2183.4399999999987</v>
      </c>
      <c r="I87" s="8">
        <f t="shared" si="7"/>
        <v>-3521.3900000000012</v>
      </c>
      <c r="J87" s="8">
        <f t="shared" si="7"/>
        <v>1624.9391350000005</v>
      </c>
      <c r="K87" s="8">
        <f t="shared" si="7"/>
        <v>10383.151308</v>
      </c>
      <c r="L87" s="8">
        <f t="shared" si="7"/>
        <v>2891.1513080000004</v>
      </c>
      <c r="M87" s="8">
        <f t="shared" si="7"/>
        <v>220.93913500000053</v>
      </c>
      <c r="N87" s="8">
        <f t="shared" si="7"/>
        <v>-6070.8486919999996</v>
      </c>
      <c r="O87" s="8">
        <f t="shared" si="7"/>
        <v>-5286.1864540000006</v>
      </c>
      <c r="Q87" s="8">
        <f>IFERROR(+Q82-Q85, 0)</f>
        <v>5274.9657399999924</v>
      </c>
    </row>
    <row r="88" spans="1:17" ht="15" thickTop="1" x14ac:dyDescent="0.3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-0.14768210173604784</v>
      </c>
      <c r="I88" s="4">
        <f t="shared" si="8"/>
        <v>-0.30353539489279185</v>
      </c>
      <c r="J88" s="4">
        <f t="shared" si="8"/>
        <v>3.1943602881912371E-2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1.7596632459702923E-2</v>
      </c>
    </row>
    <row r="89" spans="1:17" x14ac:dyDescent="0.3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294</v>
      </c>
      <c r="C91" s="17"/>
      <c r="D91" s="8">
        <f t="shared" ref="D91:O91" si="9">IFERROR(SUM(D87:D90), 0)</f>
        <v>-763</v>
      </c>
      <c r="E91" s="8">
        <f t="shared" si="9"/>
        <v>870.71272081450593</v>
      </c>
      <c r="F91" s="8">
        <f t="shared" si="9"/>
        <v>6789.1645633782664</v>
      </c>
      <c r="G91" s="8">
        <f t="shared" si="9"/>
        <v>320.10261834751429</v>
      </c>
      <c r="H91" s="8">
        <f t="shared" si="9"/>
        <v>-2183.5876821017346</v>
      </c>
      <c r="I91" s="8">
        <f t="shared" si="9"/>
        <v>-3521.6935353948938</v>
      </c>
      <c r="J91" s="8">
        <f t="shared" si="9"/>
        <v>1624.9710786028825</v>
      </c>
      <c r="K91" s="8">
        <f t="shared" si="9"/>
        <v>10383.312207264056</v>
      </c>
      <c r="L91" s="8">
        <f t="shared" si="9"/>
        <v>2891.2288749065547</v>
      </c>
      <c r="M91" s="8">
        <f t="shared" si="9"/>
        <v>220.94486683041094</v>
      </c>
      <c r="N91" s="8">
        <f t="shared" si="9"/>
        <v>-6071.3034712862382</v>
      </c>
      <c r="O91" s="8">
        <f t="shared" si="9"/>
        <v>-5290.3357369309269</v>
      </c>
      <c r="Q91" s="8">
        <f>IFERROR(SUM(Q87:Q90), 0)</f>
        <v>5274.9833366324519</v>
      </c>
    </row>
    <row r="92" spans="1:17" ht="15" thickTop="1" x14ac:dyDescent="0.3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-0.14769209056247454</v>
      </c>
      <c r="I92" s="4">
        <f t="shared" si="10"/>
        <v>-0.30356155891777986</v>
      </c>
      <c r="J92" s="4">
        <f t="shared" si="10"/>
        <v>3.1944230840057451E-2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1.7596691159889651E-2</v>
      </c>
    </row>
    <row r="93" spans="1:17" x14ac:dyDescent="0.3">
      <c r="A93" s="5"/>
      <c r="B93" s="28">
        <v>44575.850682488424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Q93" s="13"/>
    </row>
    <row r="94" spans="1:17" x14ac:dyDescent="0.3">
      <c r="A94" s="5"/>
      <c r="B94" s="26" t="s">
        <v>54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3">
      <c r="A95" s="5"/>
      <c r="B95" s="3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","307", " - ", "Art Store")</f>
        <v>Department 307 - Art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SUM(OSRRefD11x_4)</f>
        <v>14784.730000000001</v>
      </c>
      <c r="I10" s="3">
        <f>SUM(OSRRefD11x_5)</f>
        <v>11601.25</v>
      </c>
      <c r="J10" s="3">
        <f>SUM(OSRRefE11x_0)</f>
        <v>50869</v>
      </c>
      <c r="K10" s="3">
        <f>SUM(OSRRefE11x_1)</f>
        <v>64532</v>
      </c>
      <c r="L10" s="3">
        <f>SUM(OSRRefE11x_2)</f>
        <v>37273</v>
      </c>
      <c r="M10" s="3">
        <f>SUM(OSRRefE11x_3)</f>
        <v>38546</v>
      </c>
      <c r="N10" s="3">
        <f>SUM(OSRRefE11x_4)</f>
        <v>13349</v>
      </c>
      <c r="O10" s="3">
        <f>SUM(OSRRefE11x_5)</f>
        <v>1274</v>
      </c>
      <c r="P10" s="24"/>
      <c r="Q10" s="3">
        <f>SUM(OSRRefG11x)</f>
        <v>299771.32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f>--9822.43</f>
        <v>9822.43</v>
      </c>
      <c r="I11" s="2">
        <f>--8671.83</f>
        <v>8671.83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195382.31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f>--5218.66</f>
        <v>5218.66</v>
      </c>
      <c r="I12" s="2">
        <f>--4265.13</f>
        <v>4265.13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107006.95999999999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>
        <f>-97.23</f>
        <v>-97.23</v>
      </c>
      <c r="I13" s="2">
        <f>-53.97</f>
        <v>-53.97</v>
      </c>
      <c r="J13" s="2"/>
      <c r="K13" s="2"/>
      <c r="L13" s="2"/>
      <c r="M13" s="2"/>
      <c r="N13" s="2"/>
      <c r="O13" s="2"/>
      <c r="Q13" s="2">
        <f>SUM(OSRRefD11_2x)+IFERROR(SUM(OSRRefE11_2x),0)</f>
        <v>-1026.49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>
        <f>-159.13</f>
        <v>-159.13</v>
      </c>
      <c r="I14" s="2">
        <f>-1281.74</f>
        <v>-1281.74</v>
      </c>
      <c r="J14" s="2"/>
      <c r="K14" s="2"/>
      <c r="L14" s="2"/>
      <c r="M14" s="2"/>
      <c r="N14" s="2"/>
      <c r="O14" s="2"/>
      <c r="Q14" s="2">
        <f>SUM(OSRRefD11_3x)+IFERROR(SUM(OSRRefE11_3x),0)</f>
        <v>-1591.46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SUM(OSRRefD14x_4)</f>
        <v>8191.56</v>
      </c>
      <c r="I16" s="3">
        <f>SUM(OSRRefD14x_5)</f>
        <v>7098.52</v>
      </c>
      <c r="J16" s="3">
        <f>SUM(OSRRefE14x_0)</f>
        <v>30632</v>
      </c>
      <c r="K16" s="3">
        <f>SUM(OSRRefE14x_1)</f>
        <v>35964</v>
      </c>
      <c r="L16" s="3">
        <f>SUM(OSRRefE14x_2)</f>
        <v>19274</v>
      </c>
      <c r="M16" s="3">
        <f>SUM(OSRRefE14x_3)</f>
        <v>19985</v>
      </c>
      <c r="N16" s="3">
        <f>SUM(OSRRefE14x_4)</f>
        <v>7003</v>
      </c>
      <c r="O16" s="3">
        <f>SUM(OSRRefE14x_5)</f>
        <v>836</v>
      </c>
      <c r="Q16" s="3">
        <f>SUM(OSRRefG14x)</f>
        <v>167285.54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>
        <v>13695.29</v>
      </c>
      <c r="F17" s="2">
        <v>11537.82</v>
      </c>
      <c r="G17" s="2">
        <v>22158.639999999999</v>
      </c>
      <c r="H17" s="2">
        <v>25133.41</v>
      </c>
      <c r="I17" s="2">
        <v>9742.81</v>
      </c>
      <c r="J17" s="2">
        <v>30632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195961.97</v>
      </c>
    </row>
    <row r="18" spans="1:17" s="9" customFormat="1" hidden="1" outlineLevel="1" x14ac:dyDescent="0.3">
      <c r="A18" s="23"/>
      <c r="B18" s="10" t="str">
        <f>CONCATENATE("          ","5026", " - ","PURCHASES @ COST-WRITING INSTR")</f>
        <v xml:space="preserve">          5026 - PURCHASES @ COST-WRITING INSTR</v>
      </c>
      <c r="C18" s="22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3"/>
      <c r="B22" s="10" t="str">
        <f>CONCATENATE("          ","5042", " - ","PURCHASES @ COST-EVERYDAY GIFT")</f>
        <v xml:space="preserve">          5042 - PURCHASES @ COST-EVERYDAY GIFT</v>
      </c>
      <c r="C22" s="22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3"/>
      <c r="B23" s="10" t="str">
        <f>CONCATENATE("          ","5200", " - ","PURCHASES OFFSET")</f>
        <v xml:space="preserve">          5200 - PURCHASES OFFSET</v>
      </c>
      <c r="C23" s="22"/>
      <c r="D23" s="2"/>
      <c r="E23" s="2">
        <v>-13837.74</v>
      </c>
      <c r="F23" s="2">
        <v>-11589.14</v>
      </c>
      <c r="G23" s="2">
        <v>-22717.1</v>
      </c>
      <c r="H23" s="2">
        <v>-25192.57</v>
      </c>
      <c r="I23" s="2">
        <v>-9920.89</v>
      </c>
      <c r="J23" s="2"/>
      <c r="K23" s="2"/>
      <c r="L23" s="2"/>
      <c r="M23" s="2"/>
      <c r="N23" s="2"/>
      <c r="O23" s="2"/>
      <c r="Q23" s="2">
        <f>SUM(OSRRefD14_6x)+IFERROR(SUM(OSRRefE14_6x),0)</f>
        <v>-83257.439999999988</v>
      </c>
    </row>
    <row r="24" spans="1:17" s="9" customFormat="1" hidden="1" outlineLevel="1" x14ac:dyDescent="0.3">
      <c r="A24" s="23"/>
      <c r="B24" s="10" t="str">
        <f>CONCATENATE("          ","5300", " - ","COG$ OFFSET")</f>
        <v xml:space="preserve">          5300 - COG$ OFFSET</v>
      </c>
      <c r="C24" s="22"/>
      <c r="D24" s="2"/>
      <c r="E24" s="2">
        <v>9685.56</v>
      </c>
      <c r="F24" s="2">
        <v>14774.61</v>
      </c>
      <c r="G24" s="2">
        <v>13841.29</v>
      </c>
      <c r="H24" s="2">
        <v>8191.56</v>
      </c>
      <c r="I24" s="2">
        <v>7098.52</v>
      </c>
      <c r="J24" s="2"/>
      <c r="K24" s="2"/>
      <c r="L24" s="2"/>
      <c r="M24" s="2"/>
      <c r="N24" s="2"/>
      <c r="O24" s="2"/>
      <c r="Q24" s="2">
        <f>SUM(OSRRefD14_7x)+IFERROR(SUM(OSRRefE14_7x),0)</f>
        <v>53591.539999999994</v>
      </c>
    </row>
    <row r="25" spans="1:17" s="9" customFormat="1" hidden="1" outlineLevel="1" x14ac:dyDescent="0.3">
      <c r="A25" s="23"/>
      <c r="B25" s="10" t="str">
        <f>CONCATENATE("          ","5500", " - ","FREIGHT-IN")</f>
        <v xml:space="preserve">          5500 - FREIGHT-IN</v>
      </c>
      <c r="C25" s="22"/>
      <c r="D25" s="2"/>
      <c r="E25" s="2">
        <v>142.44999999999999</v>
      </c>
      <c r="F25" s="2">
        <v>51.32</v>
      </c>
      <c r="G25" s="2">
        <v>558.46</v>
      </c>
      <c r="H25" s="2">
        <v>59.16</v>
      </c>
      <c r="I25" s="2">
        <v>178.08</v>
      </c>
      <c r="J25" s="2"/>
      <c r="K25" s="2"/>
      <c r="L25" s="2"/>
      <c r="M25" s="2"/>
      <c r="N25" s="2"/>
      <c r="O25" s="2"/>
      <c r="Q25" s="2">
        <f>SUM(OSRRefD14_8x)+IFERROR(SUM(OSRRefE14_8x),0)</f>
        <v>989.47</v>
      </c>
    </row>
    <row r="26" spans="1:17" s="9" customFormat="1" hidden="1" outlineLevel="1" x14ac:dyDescent="0.3">
      <c r="A26" s="23"/>
      <c r="B26" s="10" t="str">
        <f>CONCATENATE("          ","5528", " - ","FREIGHT-IN-ART/TECH")</f>
        <v xml:space="preserve">          5528 - FREIGHT-IN-ART/TECH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7">
        <f t="shared" ref="D28:O28" si="2">IFERROR(+D10-D16, 0)</f>
        <v>0</v>
      </c>
      <c r="E28" s="7">
        <f t="shared" si="2"/>
        <v>6828.98</v>
      </c>
      <c r="F28" s="7">
        <f t="shared" si="2"/>
        <v>10886.160000000003</v>
      </c>
      <c r="G28" s="7">
        <f t="shared" si="2"/>
        <v>11525.739999999998</v>
      </c>
      <c r="H28" s="7">
        <f t="shared" si="2"/>
        <v>6593.170000000001</v>
      </c>
      <c r="I28" s="7">
        <f t="shared" si="2"/>
        <v>4502.7299999999996</v>
      </c>
      <c r="J28" s="7">
        <f t="shared" si="2"/>
        <v>20237</v>
      </c>
      <c r="K28" s="7">
        <f t="shared" si="2"/>
        <v>28568</v>
      </c>
      <c r="L28" s="7">
        <f t="shared" si="2"/>
        <v>17999</v>
      </c>
      <c r="M28" s="7">
        <f t="shared" si="2"/>
        <v>18561</v>
      </c>
      <c r="N28" s="7">
        <f t="shared" si="2"/>
        <v>6346</v>
      </c>
      <c r="O28" s="7">
        <f t="shared" si="2"/>
        <v>438</v>
      </c>
      <c r="Q28" s="7">
        <f>IFERROR(+Q10-Q16, 0)</f>
        <v>132485.78</v>
      </c>
    </row>
    <row r="29" spans="1:17" s="6" customFormat="1" x14ac:dyDescent="0.3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0.44594456577834024</v>
      </c>
      <c r="I29" s="4">
        <f t="shared" si="3"/>
        <v>0.3881245555435836</v>
      </c>
      <c r="J29" s="4">
        <f t="shared" si="3"/>
        <v>0.39782578780789873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0.44195615511183656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763</v>
      </c>
      <c r="E31" s="12">
        <f>SUM(OSRRefD20x_1)</f>
        <v>3490.5</v>
      </c>
      <c r="F31" s="12">
        <f>SUM(OSRRefD20x_2)</f>
        <v>1344.8000000000002</v>
      </c>
      <c r="G31" s="12">
        <f>SUM(OSRRefD20x_3)</f>
        <v>8618.59</v>
      </c>
      <c r="H31" s="12">
        <f>SUM(OSRRefD20x_4)</f>
        <v>6777.83</v>
      </c>
      <c r="I31" s="12">
        <f>SUM(OSRRefD20x_5)</f>
        <v>6524.0100000000011</v>
      </c>
      <c r="J31" s="12">
        <f>SUM(OSRRefE20x_0)</f>
        <v>13374.060864999999</v>
      </c>
      <c r="K31" s="12">
        <f>SUM(OSRRefE20x_1)</f>
        <v>11279.848692</v>
      </c>
      <c r="L31" s="12">
        <f>SUM(OSRRefE20x_2)</f>
        <v>10748.848692</v>
      </c>
      <c r="M31" s="12">
        <f>SUM(OSRRefE20x_3)</f>
        <v>13075.060864999999</v>
      </c>
      <c r="N31" s="12">
        <f>SUM(OSRRefE20x_4)</f>
        <v>10322.848692</v>
      </c>
      <c r="O31" s="12">
        <f>SUM(OSRRefE20x_5)</f>
        <v>10616.186454000001</v>
      </c>
      <c r="Q31" s="12">
        <f>SUM(OSRRefG20x)</f>
        <v>96935.584260000003</v>
      </c>
    </row>
    <row r="32" spans="1:17" s="35" customFormat="1" collapsed="1" x14ac:dyDescent="0.3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SUM(OSRRefD21_0x_4)</f>
        <v>95.39</v>
      </c>
      <c r="I32" s="1">
        <f>SUM(OSRRefD21_0x_5)</f>
        <v>153.04999999999998</v>
      </c>
      <c r="J32" s="1">
        <f>SUM(OSRRefE21_0x_0)</f>
        <v>767.21086500000001</v>
      </c>
      <c r="K32" s="1">
        <f>SUM(OSRRefE21_0x_1)</f>
        <v>613.76869199999999</v>
      </c>
      <c r="L32" s="1">
        <f>SUM(OSRRefE21_0x_2)</f>
        <v>613.76869199999999</v>
      </c>
      <c r="M32" s="1">
        <f>SUM(OSRRefE21_0x_3)</f>
        <v>767.21086500000001</v>
      </c>
      <c r="N32" s="1">
        <f>SUM(OSRRefE21_0x_4)</f>
        <v>613.76869199999999</v>
      </c>
      <c r="O32" s="1">
        <f>SUM(OSRRefE21_0x_5)</f>
        <v>1123.106454</v>
      </c>
      <c r="Q32" s="2">
        <f>SUM(OSRRefD20_0x)+IFERROR(SUM(OSRRefE20_0x),0)</f>
        <v>4877.6342600000007</v>
      </c>
    </row>
    <row r="33" spans="1:17" s="35" customFormat="1" hidden="1" outlineLevel="1" x14ac:dyDescent="0.3">
      <c r="A33" s="34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/>
      <c r="I33" s="2">
        <v>59.97</v>
      </c>
      <c r="J33" s="2">
        <v>196.52904000000001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1601.5687700000001</v>
      </c>
    </row>
    <row r="34" spans="1:17" s="35" customFormat="1" hidden="1" outlineLevel="1" x14ac:dyDescent="0.3">
      <c r="A34" s="34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81.14</v>
      </c>
      <c r="I34" s="2">
        <v>79.17</v>
      </c>
      <c r="J34" s="2">
        <v>169.84110000000001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1145.5937200000001</v>
      </c>
    </row>
    <row r="35" spans="1:17" s="35" customFormat="1" hidden="1" outlineLevel="1" x14ac:dyDescent="0.3">
      <c r="A35" s="34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5" customFormat="1" hidden="1" outlineLevel="1" x14ac:dyDescent="0.3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14.25</v>
      </c>
      <c r="I36" s="2">
        <v>13.91</v>
      </c>
      <c r="J36" s="2">
        <v>22.863225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164.98876999999999</v>
      </c>
    </row>
    <row r="37" spans="1:17" s="35" customFormat="1" hidden="1" outlineLevel="1" x14ac:dyDescent="0.3">
      <c r="A37" s="34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5" customFormat="1" hidden="1" outlineLevel="1" x14ac:dyDescent="0.3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">
      <c r="A39" s="34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5" customFormat="1" hidden="1" outlineLevel="1" x14ac:dyDescent="0.3">
      <c r="A40" s="34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/>
      <c r="I40" s="2"/>
      <c r="J40" s="2">
        <v>377.97750000000002</v>
      </c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1965.4830000000002</v>
      </c>
    </row>
    <row r="41" spans="1:17" s="35" customFormat="1" collapsed="1" x14ac:dyDescent="0.3">
      <c r="A41" s="34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SUM(OSRRefD21_1x_4)</f>
        <v>4766.68</v>
      </c>
      <c r="I41" s="1">
        <f>SUM(OSRRefD21_1x_5)</f>
        <v>5071.58</v>
      </c>
      <c r="J41" s="1">
        <f>SUM(OSRRefE21_1x_0)</f>
        <v>10758.85</v>
      </c>
      <c r="K41" s="1">
        <f>SUM(OSRRefE21_1x_1)</f>
        <v>8607.08</v>
      </c>
      <c r="L41" s="1">
        <f>SUM(OSRRefE21_1x_2)</f>
        <v>8607.08</v>
      </c>
      <c r="M41" s="1">
        <f>SUM(OSRRefE21_1x_3)</f>
        <v>10758.85</v>
      </c>
      <c r="N41" s="1">
        <f>SUM(OSRRefE21_1x_4)</f>
        <v>8607.08</v>
      </c>
      <c r="O41" s="1">
        <f>SUM(OSRRefE21_1x_5)</f>
        <v>8607.08</v>
      </c>
      <c r="Q41" s="2">
        <f>SUM(OSRRefD20_1x)+IFERROR(SUM(OSRRefE20_1x),0)</f>
        <v>71741.19</v>
      </c>
    </row>
    <row r="42" spans="1:17" s="35" customFormat="1" hidden="1" outlineLevel="1" x14ac:dyDescent="0.3">
      <c r="A42" s="34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5" customFormat="1" hidden="1" outlineLevel="1" x14ac:dyDescent="0.3">
      <c r="A43" s="34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5" customFormat="1" hidden="1" outlineLevel="1" x14ac:dyDescent="0.3">
      <c r="A44" s="34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5" customFormat="1" hidden="1" outlineLevel="1" x14ac:dyDescent="0.3">
      <c r="A45" s="34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/>
      <c r="I45" s="2">
        <v>783.61</v>
      </c>
      <c r="J45" s="2">
        <v>2439.6</v>
      </c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13469.53</v>
      </c>
    </row>
    <row r="46" spans="1:17" s="35" customFormat="1" hidden="1" outlineLevel="1" x14ac:dyDescent="0.3">
      <c r="A46" s="34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134.81</v>
      </c>
    </row>
    <row r="47" spans="1:17" s="35" customFormat="1" hidden="1" outlineLevel="1" x14ac:dyDescent="0.3">
      <c r="A47" s="34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5" customFormat="1" hidden="1" outlineLevel="1" x14ac:dyDescent="0.3">
      <c r="A48" s="34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3684.6</v>
      </c>
      <c r="I48" s="2">
        <v>3436.96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18780.449999999997</v>
      </c>
    </row>
    <row r="49" spans="1:17" s="35" customFormat="1" hidden="1" outlineLevel="1" x14ac:dyDescent="0.3">
      <c r="A49" s="34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1082.08</v>
      </c>
      <c r="I49" s="2">
        <v>851.01</v>
      </c>
      <c r="J49" s="2">
        <v>8319.25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39356.399999999994</v>
      </c>
    </row>
    <row r="50" spans="1:17" s="35" customFormat="1" hidden="1" outlineLevel="1" x14ac:dyDescent="0.3">
      <c r="A50" s="34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5" customFormat="1" hidden="1" outlineLevel="1" x14ac:dyDescent="0.3">
      <c r="A51" s="34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/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5" customFormat="1" collapsed="1" x14ac:dyDescent="0.3">
      <c r="A52" s="34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SUM(OSRRefD21_2x_4)</f>
        <v>1019.63</v>
      </c>
      <c r="I52" s="1">
        <f>SUM(OSRRefD21_2x_5)</f>
        <v>0</v>
      </c>
      <c r="J52" s="1">
        <f>SUM(OSRRefE21_2x_0)</f>
        <v>50</v>
      </c>
      <c r="K52" s="1">
        <f>SUM(OSRRefE21_2x_1)</f>
        <v>50</v>
      </c>
      <c r="L52" s="1">
        <f>SUM(OSRRefE21_2x_2)</f>
        <v>50</v>
      </c>
      <c r="M52" s="1">
        <f>SUM(OSRRefE21_2x_3)</f>
        <v>50</v>
      </c>
      <c r="N52" s="1">
        <f>SUM(OSRRefE21_2x_4)</f>
        <v>50</v>
      </c>
      <c r="O52" s="1">
        <f>SUM(OSRRefE21_2x_5)</f>
        <v>50</v>
      </c>
      <c r="Q52" s="2">
        <f>SUM(OSRRefD20_2x)+IFERROR(SUM(OSRRefE20_2x),0)</f>
        <v>1488.43</v>
      </c>
    </row>
    <row r="53" spans="1:17" s="35" customFormat="1" hidden="1" outlineLevel="1" x14ac:dyDescent="0.3">
      <c r="A53" s="34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1019.63</v>
      </c>
      <c r="I53" s="2"/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1488.43</v>
      </c>
    </row>
    <row r="54" spans="1:17" s="35" customFormat="1" collapsed="1" x14ac:dyDescent="0.3">
      <c r="A54" s="34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SUM(OSRRefD21_3x_4)</f>
        <v>-0.57999999999999996</v>
      </c>
      <c r="I54" s="1">
        <f>SUM(OSRRefD21_3x_5)</f>
        <v>0.02</v>
      </c>
      <c r="J54" s="1">
        <f>SUM(OSRRefE21_3x_0)</f>
        <v>25</v>
      </c>
      <c r="K54" s="1">
        <f>SUM(OSRRefE21_3x_1)</f>
        <v>25</v>
      </c>
      <c r="L54" s="1">
        <f>SUM(OSRRefE21_3x_2)</f>
        <v>25</v>
      </c>
      <c r="M54" s="1">
        <f>SUM(OSRRefE21_3x_3)</f>
        <v>25</v>
      </c>
      <c r="N54" s="1">
        <f>SUM(OSRRefE21_3x_4)</f>
        <v>25</v>
      </c>
      <c r="O54" s="1">
        <f>SUM(OSRRefE21_3x_5)</f>
        <v>25</v>
      </c>
      <c r="Q54" s="2">
        <f>SUM(OSRRefD20_3x)+IFERROR(SUM(OSRRefE20_3x),0)</f>
        <v>146.55000000000001</v>
      </c>
    </row>
    <row r="55" spans="1:17" s="35" customFormat="1" hidden="1" outlineLevel="1" x14ac:dyDescent="0.3">
      <c r="A55" s="34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-0.57999999999999996</v>
      </c>
      <c r="I55" s="2">
        <v>0.02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146.55000000000001</v>
      </c>
    </row>
    <row r="56" spans="1:17" s="35" customFormat="1" collapsed="1" x14ac:dyDescent="0.3">
      <c r="A56" s="34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SUM(OSRRefD21_4x_4)</f>
        <v>0</v>
      </c>
      <c r="I56" s="1">
        <f>SUM(OSRRefD21_4x_5)</f>
        <v>0</v>
      </c>
      <c r="J56" s="1">
        <f>SUM(OSRRefE21_4x_0)</f>
        <v>988</v>
      </c>
      <c r="K56" s="1">
        <f>SUM(OSRRefE21_4x_1)</f>
        <v>1199</v>
      </c>
      <c r="L56" s="1">
        <f>SUM(OSRRefE21_4x_2)</f>
        <v>668</v>
      </c>
      <c r="M56" s="1">
        <f>SUM(OSRRefE21_4x_3)</f>
        <v>689</v>
      </c>
      <c r="N56" s="1">
        <f>SUM(OSRRefE21_4x_4)</f>
        <v>242</v>
      </c>
      <c r="O56" s="1">
        <f>SUM(OSRRefE21_4x_5)</f>
        <v>26</v>
      </c>
      <c r="Q56" s="2">
        <f>SUM(OSRRefD20_4x)+IFERROR(SUM(OSRRefE20_4x),0)</f>
        <v>3812</v>
      </c>
    </row>
    <row r="57" spans="1:17" s="35" customFormat="1" hidden="1" outlineLevel="1" x14ac:dyDescent="0.3">
      <c r="A57" s="34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/>
      <c r="I57" s="2"/>
      <c r="J57" s="2">
        <v>988</v>
      </c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3812</v>
      </c>
    </row>
    <row r="58" spans="1:17" s="35" customFormat="1" collapsed="1" x14ac:dyDescent="0.3">
      <c r="A58" s="34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SUM(OSRRefD21_5x_4)</f>
        <v>2.19</v>
      </c>
      <c r="I58" s="1">
        <f>SUM(OSRRefD21_5x_5)</f>
        <v>12.46</v>
      </c>
      <c r="J58" s="1">
        <f>SUM(OSRRefE21_5x_0)</f>
        <v>0</v>
      </c>
      <c r="K58" s="1">
        <f>SUM(OSRRefE21_5x_1)</f>
        <v>0</v>
      </c>
      <c r="L58" s="1">
        <f>SUM(OSRRefE21_5x_2)</f>
        <v>0</v>
      </c>
      <c r="M58" s="1">
        <f>SUM(OSRRefE21_5x_3)</f>
        <v>0</v>
      </c>
      <c r="N58" s="1">
        <f>SUM(OSRRefE21_5x_4)</f>
        <v>0</v>
      </c>
      <c r="O58" s="1">
        <f>SUM(OSRRefE21_5x_5)</f>
        <v>0</v>
      </c>
      <c r="Q58" s="2">
        <f>SUM(OSRRefD20_5x)+IFERROR(SUM(OSRRefE20_5x),0)</f>
        <v>-28.89</v>
      </c>
    </row>
    <row r="59" spans="1:17" s="35" customFormat="1" hidden="1" outlineLevel="1" x14ac:dyDescent="0.3">
      <c r="A59" s="34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>
        <v>2.19</v>
      </c>
      <c r="I59" s="2">
        <v>12.46</v>
      </c>
      <c r="J59" s="2"/>
      <c r="K59" s="2"/>
      <c r="L59" s="2"/>
      <c r="M59" s="2"/>
      <c r="N59" s="2"/>
      <c r="O59" s="2"/>
      <c r="P59" s="9"/>
      <c r="Q59" s="2">
        <f>SUM(OSRRefD21_5_0x)+IFERROR(SUM(OSRRefE21_5_0x),0)</f>
        <v>-28.89</v>
      </c>
    </row>
    <row r="60" spans="1:17" s="35" customFormat="1" collapsed="1" x14ac:dyDescent="0.3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SUM(OSRRefD21_6x_4)</f>
        <v>0</v>
      </c>
      <c r="I60" s="1">
        <f>SUM(OSRRefD21_6x_5)</f>
        <v>0</v>
      </c>
      <c r="J60" s="1">
        <f>SUM(OSRRefE21_6x_0)</f>
        <v>0</v>
      </c>
      <c r="K60" s="1">
        <f>SUM(OSRRefE21_6x_1)</f>
        <v>0</v>
      </c>
      <c r="L60" s="1">
        <f>SUM(OSRRefE21_6x_2)</f>
        <v>0</v>
      </c>
      <c r="M60" s="1">
        <f>SUM(OSRRefE21_6x_3)</f>
        <v>0</v>
      </c>
      <c r="N60" s="1">
        <f>SUM(OSRRefE21_6x_4)</f>
        <v>0</v>
      </c>
      <c r="O60" s="1">
        <f>SUM(OSRRefE21_6x_5)</f>
        <v>0</v>
      </c>
      <c r="Q60" s="2">
        <f>SUM(OSRRefD20_6x)+IFERROR(SUM(OSRRefE20_6x),0)</f>
        <v>54.5</v>
      </c>
    </row>
    <row r="61" spans="1:17" s="35" customFormat="1" hidden="1" outlineLevel="1" x14ac:dyDescent="0.3">
      <c r="A61" s="34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5" customFormat="1" collapsed="1" x14ac:dyDescent="0.3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SUM(OSRRefD21_7x_4)</f>
        <v>0</v>
      </c>
      <c r="I62" s="1">
        <f>SUM(OSRRefD21_7x_5)</f>
        <v>160</v>
      </c>
      <c r="J62" s="1">
        <f>SUM(OSRRefE21_7x_0)</f>
        <v>0</v>
      </c>
      <c r="K62" s="1">
        <f>SUM(OSRRefE21_7x_1)</f>
        <v>0</v>
      </c>
      <c r="L62" s="1">
        <f>SUM(OSRRefE21_7x_2)</f>
        <v>0</v>
      </c>
      <c r="M62" s="1">
        <f>SUM(OSRRefE21_7x_3)</f>
        <v>0</v>
      </c>
      <c r="N62" s="1">
        <f>SUM(OSRRefE21_7x_4)</f>
        <v>0</v>
      </c>
      <c r="O62" s="1">
        <f>SUM(OSRRefE21_7x_5)</f>
        <v>0</v>
      </c>
      <c r="Q62" s="2">
        <f>SUM(OSRRefD20_7x)+IFERROR(SUM(OSRRefE20_7x),0)</f>
        <v>388.03999999999996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/>
      <c r="I63" s="2">
        <v>160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388.03999999999996</v>
      </c>
    </row>
    <row r="64" spans="1:17" s="35" customFormat="1" collapsed="1" x14ac:dyDescent="0.3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SUM(OSRRefD21_8x_4)</f>
        <v>650</v>
      </c>
      <c r="I64" s="1">
        <f>SUM(OSRRefD21_8x_5)</f>
        <v>650</v>
      </c>
      <c r="J64" s="1">
        <f>SUM(OSRRefE21_8x_0)</f>
        <v>650</v>
      </c>
      <c r="K64" s="1">
        <f>SUM(OSRRefE21_8x_1)</f>
        <v>650</v>
      </c>
      <c r="L64" s="1">
        <f>SUM(OSRRefE21_8x_2)</f>
        <v>650</v>
      </c>
      <c r="M64" s="1">
        <f>SUM(OSRRefE21_8x_3)</f>
        <v>650</v>
      </c>
      <c r="N64" s="1">
        <f>SUM(OSRRefE21_8x_4)</f>
        <v>650</v>
      </c>
      <c r="O64" s="1">
        <f>SUM(OSRRefE21_8x_5)</f>
        <v>650</v>
      </c>
      <c r="Q64" s="2">
        <f>SUM(OSRRefD20_8x)+IFERROR(SUM(OSRRefE20_8x),0)</f>
        <v>7800</v>
      </c>
    </row>
    <row r="65" spans="1:17" s="35" customFormat="1" hidden="1" outlineLevel="1" x14ac:dyDescent="0.3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5" customFormat="1" collapsed="1" x14ac:dyDescent="0.3">
      <c r="A66" s="34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SUM(OSRRefD21_9x_4)</f>
        <v>0</v>
      </c>
      <c r="I66" s="1">
        <f>SUM(OSRRefD21_9x_5)</f>
        <v>139.06</v>
      </c>
      <c r="J66" s="1">
        <f>SUM(OSRRefE21_9x_0)</f>
        <v>0</v>
      </c>
      <c r="K66" s="1">
        <f>SUM(OSRRefE21_9x_1)</f>
        <v>0</v>
      </c>
      <c r="L66" s="1">
        <f>SUM(OSRRefE21_9x_2)</f>
        <v>0</v>
      </c>
      <c r="M66" s="1">
        <f>SUM(OSRRefE21_9x_3)</f>
        <v>0</v>
      </c>
      <c r="N66" s="1">
        <f>SUM(OSRRefE21_9x_4)</f>
        <v>0</v>
      </c>
      <c r="O66" s="1">
        <f>SUM(OSRRefE21_9x_5)</f>
        <v>0</v>
      </c>
      <c r="Q66" s="2">
        <f>SUM(OSRRefD20_9x)+IFERROR(SUM(OSRRefE20_9x),0)</f>
        <v>383.39</v>
      </c>
    </row>
    <row r="67" spans="1:17" s="35" customFormat="1" hidden="1" outlineLevel="1" x14ac:dyDescent="0.3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>
        <v>139.06</v>
      </c>
      <c r="J67" s="2"/>
      <c r="K67" s="2"/>
      <c r="L67" s="2"/>
      <c r="M67" s="2"/>
      <c r="N67" s="2"/>
      <c r="O67" s="2"/>
      <c r="P67" s="9"/>
      <c r="Q67" s="2">
        <f>SUM(OSRRefD21_9_0x)+IFERROR(SUM(OSRRefE21_9_0x),0)</f>
        <v>200.17000000000002</v>
      </c>
    </row>
    <row r="68" spans="1:17" s="35" customFormat="1" hidden="1" outlineLevel="1" x14ac:dyDescent="0.3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5" customFormat="1" collapsed="1" x14ac:dyDescent="0.3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SUM(OSRRefD21_10x_4)</f>
        <v>123.45</v>
      </c>
      <c r="I69" s="1">
        <f>SUM(OSRRefD21_10x_5)</f>
        <v>273.81</v>
      </c>
      <c r="J69" s="1">
        <f>SUM(OSRRefE21_10x_0)</f>
        <v>0</v>
      </c>
      <c r="K69" s="1">
        <f>SUM(OSRRefE21_10x_1)</f>
        <v>0</v>
      </c>
      <c r="L69" s="1">
        <f>SUM(OSRRefE21_10x_2)</f>
        <v>0</v>
      </c>
      <c r="M69" s="1">
        <f>SUM(OSRRefE21_10x_3)</f>
        <v>0</v>
      </c>
      <c r="N69" s="1">
        <f>SUM(OSRRefE21_10x_4)</f>
        <v>0</v>
      </c>
      <c r="O69" s="1">
        <f>SUM(OSRRefE21_10x_5)</f>
        <v>0</v>
      </c>
      <c r="Q69" s="2">
        <f>SUM(OSRRefD20_10x)+IFERROR(SUM(OSRRefE20_10x),0)</f>
        <v>3437.2499999999995</v>
      </c>
    </row>
    <row r="70" spans="1:17" s="35" customFormat="1" hidden="1" outlineLevel="1" x14ac:dyDescent="0.3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>
        <v>138</v>
      </c>
      <c r="J70" s="2"/>
      <c r="K70" s="2"/>
      <c r="L70" s="2"/>
      <c r="M70" s="2"/>
      <c r="N70" s="2"/>
      <c r="O70" s="2"/>
      <c r="P70" s="9"/>
      <c r="Q70" s="2">
        <f>SUM(OSRRefD21_10_0x)+IFERROR(SUM(OSRRefE21_10_0x),0)</f>
        <v>629.6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>
        <v>123.45</v>
      </c>
      <c r="I71" s="2">
        <v>135.81</v>
      </c>
      <c r="J71" s="2"/>
      <c r="K71" s="2"/>
      <c r="L71" s="2"/>
      <c r="M71" s="2"/>
      <c r="N71" s="2"/>
      <c r="O71" s="2"/>
      <c r="P71" s="9"/>
      <c r="Q71" s="2">
        <f>SUM(OSRRefD21_10_1x)+IFERROR(SUM(OSRRefE21_10_1x),0)</f>
        <v>2807.6499999999996</v>
      </c>
    </row>
    <row r="72" spans="1:17" s="35" customFormat="1" collapsed="1" x14ac:dyDescent="0.3">
      <c r="A72" s="34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SUM(OSRRefD21_11x_4)</f>
        <v>68.069999999999993</v>
      </c>
      <c r="I72" s="1">
        <f>SUM(OSRRefD21_11x_5)</f>
        <v>11.03</v>
      </c>
      <c r="J72" s="1">
        <f>SUM(OSRRefE21_11x_0)</f>
        <v>75</v>
      </c>
      <c r="K72" s="1">
        <f>SUM(OSRRefE21_11x_1)</f>
        <v>75</v>
      </c>
      <c r="L72" s="1">
        <f>SUM(OSRRefE21_11x_2)</f>
        <v>75</v>
      </c>
      <c r="M72" s="1">
        <f>SUM(OSRRefE21_11x_3)</f>
        <v>75</v>
      </c>
      <c r="N72" s="1">
        <f>SUM(OSRRefE21_11x_4)</f>
        <v>75</v>
      </c>
      <c r="O72" s="1">
        <f>SUM(OSRRefE21_11x_5)</f>
        <v>75</v>
      </c>
      <c r="Q72" s="2">
        <f>SUM(OSRRefD20_11x)+IFERROR(SUM(OSRRefE20_11x),0)</f>
        <v>2197.4899999999998</v>
      </c>
    </row>
    <row r="73" spans="1:17" s="35" customFormat="1" hidden="1" outlineLevel="1" x14ac:dyDescent="0.3">
      <c r="A73" s="34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>
        <v>46.03</v>
      </c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1393.55</v>
      </c>
    </row>
    <row r="74" spans="1:17" s="35" customFormat="1" hidden="1" outlineLevel="1" x14ac:dyDescent="0.3">
      <c r="A74" s="34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/>
      <c r="I74" s="2"/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150</v>
      </c>
    </row>
    <row r="75" spans="1:17" s="35" customFormat="1" hidden="1" outlineLevel="1" x14ac:dyDescent="0.3">
      <c r="A75" s="34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/>
      <c r="I75" s="2">
        <v>11.03</v>
      </c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161.03</v>
      </c>
    </row>
    <row r="76" spans="1:17" s="35" customFormat="1" hidden="1" outlineLevel="1" x14ac:dyDescent="0.3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22.04</v>
      </c>
      <c r="I76" s="2"/>
      <c r="J76" s="2">
        <v>25</v>
      </c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492.91</v>
      </c>
    </row>
    <row r="77" spans="1:17" s="35" customFormat="1" collapsed="1" x14ac:dyDescent="0.3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SUM(OSRRefD21_12x_4)</f>
        <v>53</v>
      </c>
      <c r="I77" s="1">
        <f>SUM(OSRRefD21_12x_5)</f>
        <v>53</v>
      </c>
      <c r="J77" s="1">
        <f>SUM(OSRRefE21_12x_0)</f>
        <v>60</v>
      </c>
      <c r="K77" s="1">
        <f>SUM(OSRRefE21_12x_1)</f>
        <v>60</v>
      </c>
      <c r="L77" s="1">
        <f>SUM(OSRRefE21_12x_2)</f>
        <v>60</v>
      </c>
      <c r="M77" s="1">
        <f>SUM(OSRRefE21_12x_3)</f>
        <v>60</v>
      </c>
      <c r="N77" s="1">
        <f>SUM(OSRRefE21_12x_4)</f>
        <v>60</v>
      </c>
      <c r="O77" s="1">
        <f>SUM(OSRRefE21_12x_5)</f>
        <v>60</v>
      </c>
      <c r="Q77" s="2">
        <f>SUM(OSRRefD20_12x)+IFERROR(SUM(OSRRefE20_12x),0)</f>
        <v>638</v>
      </c>
    </row>
    <row r="78" spans="1:17" s="35" customFormat="1" hidden="1" outlineLevel="1" x14ac:dyDescent="0.3">
      <c r="A78" s="34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53</v>
      </c>
      <c r="I78" s="2">
        <v>53</v>
      </c>
      <c r="J78" s="2">
        <v>60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638</v>
      </c>
    </row>
    <row r="79" spans="1:17" s="29" customFormat="1" x14ac:dyDescent="0.3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">
      <c r="A80" s="23"/>
      <c r="B80" s="16" t="s">
        <v>293</v>
      </c>
      <c r="C80" s="22"/>
      <c r="D80" s="3">
        <f t="shared" ref="D80:I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>
        <f t="shared" si="4"/>
        <v>0</v>
      </c>
      <c r="I80" s="3">
        <f t="shared" si="4"/>
        <v>0</v>
      </c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3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6"/>
      <c r="B82" s="17" t="s">
        <v>276</v>
      </c>
      <c r="C82" s="17"/>
      <c r="D82" s="7">
        <f t="shared" ref="D82:O82" si="5">IFERROR(+D28-D31+D80, 0)</f>
        <v>-763</v>
      </c>
      <c r="E82" s="7">
        <f t="shared" si="5"/>
        <v>3338.4799999999996</v>
      </c>
      <c r="F82" s="7">
        <f t="shared" si="5"/>
        <v>9541.3600000000042</v>
      </c>
      <c r="G82" s="7">
        <f t="shared" si="5"/>
        <v>2907.1499999999978</v>
      </c>
      <c r="H82" s="7">
        <f t="shared" si="5"/>
        <v>-184.65999999999894</v>
      </c>
      <c r="I82" s="7">
        <f t="shared" si="5"/>
        <v>-2021.2800000000016</v>
      </c>
      <c r="J82" s="7">
        <f t="shared" si="5"/>
        <v>6862.9391350000005</v>
      </c>
      <c r="K82" s="7">
        <f t="shared" si="5"/>
        <v>17288.151308</v>
      </c>
      <c r="L82" s="7">
        <f t="shared" si="5"/>
        <v>7250.1513080000004</v>
      </c>
      <c r="M82" s="7">
        <f t="shared" si="5"/>
        <v>5485.9391350000005</v>
      </c>
      <c r="N82" s="7">
        <f t="shared" si="5"/>
        <v>-3976.8486919999996</v>
      </c>
      <c r="O82" s="7">
        <f t="shared" si="5"/>
        <v>-10178.186454000001</v>
      </c>
      <c r="Q82" s="7">
        <f>IFERROR(+Q28-Q31+Q80, 0)</f>
        <v>35550.195739999996</v>
      </c>
    </row>
    <row r="83" spans="1:17" s="6" customFormat="1" x14ac:dyDescent="0.3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-1.2489913579754174E-2</v>
      </c>
      <c r="I83" s="4">
        <f t="shared" si="6"/>
        <v>-0.17422950113134375</v>
      </c>
      <c r="J83" s="4">
        <f t="shared" si="6"/>
        <v>0.13491397776641964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0.11859105047140599</v>
      </c>
    </row>
    <row r="84" spans="1:17" x14ac:dyDescent="0.3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1998.78</v>
      </c>
      <c r="I85" s="3">
        <v>1500.11</v>
      </c>
      <c r="J85" s="3">
        <v>5238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30275.230000000003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124</v>
      </c>
      <c r="C87" s="17"/>
      <c r="D87" s="8">
        <f t="shared" ref="D87:O87" si="7">IFERROR(+D82-D85, 0)</f>
        <v>-763</v>
      </c>
      <c r="E87" s="8">
        <f t="shared" si="7"/>
        <v>870.6599999999994</v>
      </c>
      <c r="F87" s="8">
        <f t="shared" si="7"/>
        <v>6788.9000000000042</v>
      </c>
      <c r="G87" s="8">
        <f t="shared" si="7"/>
        <v>320.08999999999787</v>
      </c>
      <c r="H87" s="8">
        <f t="shared" si="7"/>
        <v>-2183.4399999999987</v>
      </c>
      <c r="I87" s="8">
        <f t="shared" si="7"/>
        <v>-3521.3900000000012</v>
      </c>
      <c r="J87" s="8">
        <f t="shared" si="7"/>
        <v>1624.9391350000005</v>
      </c>
      <c r="K87" s="8">
        <f t="shared" si="7"/>
        <v>10383.151308</v>
      </c>
      <c r="L87" s="8">
        <f t="shared" si="7"/>
        <v>2891.1513080000004</v>
      </c>
      <c r="M87" s="8">
        <f t="shared" si="7"/>
        <v>220.93913500000053</v>
      </c>
      <c r="N87" s="8">
        <f t="shared" si="7"/>
        <v>-6070.8486919999996</v>
      </c>
      <c r="O87" s="8">
        <f t="shared" si="7"/>
        <v>-5286.1864540000006</v>
      </c>
      <c r="Q87" s="8">
        <f>IFERROR(+Q82-Q85, 0)</f>
        <v>5274.9657399999924</v>
      </c>
    </row>
    <row r="88" spans="1:17" ht="15" thickTop="1" x14ac:dyDescent="0.3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-0.14768210173604784</v>
      </c>
      <c r="I88" s="4">
        <f t="shared" si="8"/>
        <v>-0.30353539489279185</v>
      </c>
      <c r="J88" s="4">
        <f t="shared" si="8"/>
        <v>3.1943602881912371E-2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1.7596632459702923E-2</v>
      </c>
    </row>
    <row r="89" spans="1:17" x14ac:dyDescent="0.3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294</v>
      </c>
      <c r="C91" s="17"/>
      <c r="D91" s="8">
        <f t="shared" ref="D91:O91" si="9">IFERROR(SUM(D87:D90), 0)</f>
        <v>-763</v>
      </c>
      <c r="E91" s="8">
        <f t="shared" si="9"/>
        <v>870.71272081450593</v>
      </c>
      <c r="F91" s="8">
        <f t="shared" si="9"/>
        <v>6789.1645633782664</v>
      </c>
      <c r="G91" s="8">
        <f t="shared" si="9"/>
        <v>320.10261834751429</v>
      </c>
      <c r="H91" s="8">
        <f t="shared" si="9"/>
        <v>-2183.5876821017346</v>
      </c>
      <c r="I91" s="8">
        <f t="shared" si="9"/>
        <v>-3521.6935353948938</v>
      </c>
      <c r="J91" s="8">
        <f t="shared" si="9"/>
        <v>1624.9710786028825</v>
      </c>
      <c r="K91" s="8">
        <f t="shared" si="9"/>
        <v>10383.312207264056</v>
      </c>
      <c r="L91" s="8">
        <f t="shared" si="9"/>
        <v>2891.2288749065547</v>
      </c>
      <c r="M91" s="8">
        <f t="shared" si="9"/>
        <v>220.94486683041094</v>
      </c>
      <c r="N91" s="8">
        <f t="shared" si="9"/>
        <v>-6071.3034712862382</v>
      </c>
      <c r="O91" s="8">
        <f t="shared" si="9"/>
        <v>-5290.3357369309269</v>
      </c>
      <c r="Q91" s="8">
        <f>IFERROR(SUM(Q87:Q90), 0)</f>
        <v>5274.9833366324519</v>
      </c>
    </row>
    <row r="92" spans="1:17" ht="15" thickTop="1" x14ac:dyDescent="0.3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-0.14769209056247454</v>
      </c>
      <c r="I92" s="4">
        <f t="shared" si="10"/>
        <v>-0.30356155891777986</v>
      </c>
      <c r="J92" s="4">
        <f t="shared" si="10"/>
        <v>3.1944230840057451E-2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1.7596691159889651E-2</v>
      </c>
    </row>
    <row r="93" spans="1:17" x14ac:dyDescent="0.3">
      <c r="A93" s="5"/>
      <c r="B93" s="28">
        <v>44575.850692245367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Q93" s="13"/>
    </row>
    <row r="94" spans="1:17" x14ac:dyDescent="0.3">
      <c r="A94" s="5"/>
      <c r="B94" s="26" t="s">
        <v>54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3">
      <c r="A95" s="5"/>
      <c r="B95" s="3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21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62114.82</v>
      </c>
      <c r="E10" s="3">
        <f>SUM(OSRRefD11x_1)</f>
        <v>1009670.64</v>
      </c>
      <c r="F10" s="3">
        <f>SUM(OSRRefD11x_2)</f>
        <v>234356.63999999998</v>
      </c>
      <c r="G10" s="3">
        <f>SUM(OSRRefD11x_3)</f>
        <v>37617.599999999991</v>
      </c>
      <c r="H10" s="3">
        <f>SUM(OSRRefD11x_4)</f>
        <v>7877.45</v>
      </c>
      <c r="I10" s="3">
        <f>SUM(OSRRefD11x_5)</f>
        <v>47972.719999999994</v>
      </c>
      <c r="J10" s="3">
        <f>SUM(OSRRefE11x_0)</f>
        <v>1590260</v>
      </c>
      <c r="K10" s="3">
        <f>SUM(OSRRefE11x_1)</f>
        <v>196582</v>
      </c>
      <c r="L10" s="3">
        <f>SUM(OSRRefE11x_2)</f>
        <v>19227</v>
      </c>
      <c r="M10" s="3">
        <f>SUM(OSRRefE11x_3)</f>
        <v>18864</v>
      </c>
      <c r="N10" s="3">
        <f>SUM(OSRRefE11x_4)</f>
        <v>55767</v>
      </c>
      <c r="O10" s="3">
        <f>SUM(OSRRefE11x_5)</f>
        <v>22192</v>
      </c>
      <c r="P10" s="24"/>
      <c r="Q10" s="3">
        <f>SUM(OSRRefG11x)</f>
        <v>3302501.87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--34833.91</f>
        <v>34833.910000000003</v>
      </c>
      <c r="E11" s="2">
        <f>--738389.15</f>
        <v>738389.15</v>
      </c>
      <c r="F11" s="2">
        <f>--181793.09</f>
        <v>181793.09</v>
      </c>
      <c r="G11" s="2">
        <f>--26031.35</f>
        <v>26031.35</v>
      </c>
      <c r="H11" s="2">
        <f>--6339.97</f>
        <v>6339.97</v>
      </c>
      <c r="I11" s="2">
        <f>--17446.59</f>
        <v>17446.59</v>
      </c>
      <c r="J11" s="2">
        <v>1590260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2907726.06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--29184.3</f>
        <v>29184.3</v>
      </c>
      <c r="E12" s="2">
        <f>--298959.6</f>
        <v>298959.59999999998</v>
      </c>
      <c r="F12" s="2">
        <f>--66434.39</f>
        <v>66434.39</v>
      </c>
      <c r="G12" s="2">
        <f>--21904.93</f>
        <v>21904.93</v>
      </c>
      <c r="H12" s="2">
        <f>--2768.92</f>
        <v>2768.92</v>
      </c>
      <c r="I12" s="2">
        <f>--32055.36</f>
        <v>32055.360000000001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451307.49999999994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>
        <f>-652.65</f>
        <v>-652.65</v>
      </c>
      <c r="I13" s="2">
        <f>-407.24</f>
        <v>-407.24</v>
      </c>
      <c r="J13" s="2"/>
      <c r="K13" s="2"/>
      <c r="L13" s="2"/>
      <c r="M13" s="2"/>
      <c r="N13" s="2"/>
      <c r="O13" s="2"/>
      <c r="Q13" s="2">
        <f>SUM(OSRRefD11_2x)+IFERROR(SUM(OSRRefE11_2x),0)</f>
        <v>-29393.020000000004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>
        <f>-487.82</f>
        <v>-487.82</v>
      </c>
      <c r="I14" s="2">
        <f>-510.16</f>
        <v>-510.16</v>
      </c>
      <c r="J14" s="2"/>
      <c r="K14" s="2"/>
      <c r="L14" s="2"/>
      <c r="M14" s="2"/>
      <c r="N14" s="2"/>
      <c r="O14" s="2"/>
      <c r="Q14" s="2">
        <f>SUM(OSRRefD11_3x)+IFERROR(SUM(OSRRefE11_3x),0)</f>
        <v>-25903.139999999996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>
        <f>-90.97</f>
        <v>-90.97</v>
      </c>
      <c r="I15" s="2">
        <f>-611.83</f>
        <v>-611.83000000000004</v>
      </c>
      <c r="J15" s="2"/>
      <c r="K15" s="2"/>
      <c r="L15" s="2"/>
      <c r="M15" s="2"/>
      <c r="N15" s="2"/>
      <c r="O15" s="2"/>
      <c r="Q15" s="2">
        <f>SUM(OSRRefD11_4x)+IFERROR(SUM(OSRRefE11_4x),0)</f>
        <v>-1235.5300000000002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44701.750000000007</v>
      </c>
      <c r="E17" s="3">
        <f>SUM(OSRRefD14x_1)</f>
        <v>802451.48</v>
      </c>
      <c r="F17" s="3">
        <f>SUM(OSRRefD14x_2)</f>
        <v>225360.76000000004</v>
      </c>
      <c r="G17" s="3">
        <f>SUM(OSRRefD14x_3)</f>
        <v>24321.970000000027</v>
      </c>
      <c r="H17" s="3">
        <f>SUM(OSRRefD14x_4)</f>
        <v>5436.6200000000063</v>
      </c>
      <c r="I17" s="3">
        <f>SUM(OSRRefD14x_5)</f>
        <v>38599.1</v>
      </c>
      <c r="J17" s="3">
        <f>SUM(OSRRefE14x_0)</f>
        <v>1150318</v>
      </c>
      <c r="K17" s="3">
        <f>SUM(OSRRefE14x_1)</f>
        <v>142181</v>
      </c>
      <c r="L17" s="3">
        <f>SUM(OSRRefE14x_2)</f>
        <v>13896</v>
      </c>
      <c r="M17" s="3">
        <f>SUM(OSRRefE14x_3)</f>
        <v>13633</v>
      </c>
      <c r="N17" s="3">
        <f>SUM(OSRRefE14x_4)</f>
        <v>40308</v>
      </c>
      <c r="O17" s="3">
        <f>SUM(OSRRefE14x_5)</f>
        <v>16024</v>
      </c>
      <c r="Q17" s="3">
        <f>SUM(OSRRefG14x)</f>
        <v>2517231.6800000002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264218.03999999998</v>
      </c>
      <c r="E18" s="2">
        <v>422783.67</v>
      </c>
      <c r="F18" s="2">
        <v>580518.88</v>
      </c>
      <c r="G18" s="2">
        <v>276289.31</v>
      </c>
      <c r="H18" s="2">
        <v>-202187.1</v>
      </c>
      <c r="I18" s="2">
        <v>62818.239999999998</v>
      </c>
      <c r="J18" s="2">
        <v>1150318</v>
      </c>
      <c r="K18" s="2">
        <v>142181</v>
      </c>
      <c r="L18" s="2">
        <v>13896</v>
      </c>
      <c r="M18" s="2">
        <v>13633</v>
      </c>
      <c r="N18" s="2">
        <v>40308</v>
      </c>
      <c r="O18" s="2">
        <v>16024</v>
      </c>
      <c r="Q18" s="2">
        <f>SUM(OSRRefD14_0x)+IFERROR(SUM(OSRRefE14_0x),0)</f>
        <v>2780801.04</v>
      </c>
    </row>
    <row r="19" spans="1:17" s="9" customFormat="1" hidden="1" outlineLevel="1" x14ac:dyDescent="0.3">
      <c r="A19" s="23"/>
      <c r="B19" s="10" t="str">
        <f>CONCATENATE("          ","5001", " - ","PURCHASES @ COST-NEW TEXT")</f>
        <v xml:space="preserve">          5001 - PURCHASES @ COST-NEW TEXT</v>
      </c>
      <c r="C19" s="22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","5002", " - ","PURCHASES @ COST-USED TEXT")</f>
        <v xml:space="preserve">          5002 - PURCHASES @ COST-USED TEXT</v>
      </c>
      <c r="C20" s="22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","5004", " - ","PURCHASES @ COST-DIGITAL TEXT")</f>
        <v xml:space="preserve">          5004 - PURCHASES @ COST-DIGITAL TEXT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","5200", " - ","PURCHASES OFFSET")</f>
        <v xml:space="preserve">          5200 - PURCHASES OFFSET</v>
      </c>
      <c r="C22" s="22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>
        <v>202125.45</v>
      </c>
      <c r="I22" s="2">
        <v>-66175.399999999994</v>
      </c>
      <c r="J22" s="2"/>
      <c r="K22" s="2"/>
      <c r="L22" s="2"/>
      <c r="M22" s="2"/>
      <c r="N22" s="2"/>
      <c r="O22" s="2"/>
      <c r="Q22" s="2">
        <f>SUM(OSRRefD14_4x)+IFERROR(SUM(OSRRefE14_4x),0)</f>
        <v>-1190579.8099999998</v>
      </c>
    </row>
    <row r="23" spans="1:17" s="9" customFormat="1" hidden="1" outlineLevel="1" x14ac:dyDescent="0.3">
      <c r="A23" s="23"/>
      <c r="B23" s="10" t="str">
        <f>CONCATENATE("          ","5300", " - ","COG$ OFFSET")</f>
        <v xml:space="preserve">          5300 - COG$ OFFSET</v>
      </c>
      <c r="C23" s="22"/>
      <c r="D23" s="2">
        <v>42691.72</v>
      </c>
      <c r="E23" s="2">
        <v>599500.85</v>
      </c>
      <c r="F23" s="2">
        <v>179347.67</v>
      </c>
      <c r="G23" s="2">
        <v>21877.63</v>
      </c>
      <c r="H23" s="2">
        <v>5116.34</v>
      </c>
      <c r="I23" s="2">
        <v>41134.559999999998</v>
      </c>
      <c r="J23" s="2"/>
      <c r="K23" s="2"/>
      <c r="L23" s="2"/>
      <c r="M23" s="2"/>
      <c r="N23" s="2"/>
      <c r="O23" s="2"/>
      <c r="Q23" s="2">
        <f>SUM(OSRRefD14_5x)+IFERROR(SUM(OSRRefE14_5x),0)</f>
        <v>889668.77</v>
      </c>
    </row>
    <row r="24" spans="1:17" s="9" customFormat="1" hidden="1" outlineLevel="1" x14ac:dyDescent="0.3">
      <c r="A24" s="23"/>
      <c r="B24" s="10" t="str">
        <f>CONCATENATE("          ","5500", " - ","FREIGHT-IN")</f>
        <v xml:space="preserve">          5500 - FREIGHT-IN</v>
      </c>
      <c r="C24" s="22"/>
      <c r="D24" s="2">
        <v>2183.71</v>
      </c>
      <c r="E24" s="2">
        <v>3438.02</v>
      </c>
      <c r="F24" s="2">
        <v>14203.07</v>
      </c>
      <c r="G24" s="2">
        <v>16313.25</v>
      </c>
      <c r="H24" s="2">
        <v>381.93</v>
      </c>
      <c r="I24" s="2">
        <v>821.7</v>
      </c>
      <c r="J24" s="2"/>
      <c r="K24" s="2"/>
      <c r="L24" s="2"/>
      <c r="M24" s="2"/>
      <c r="N24" s="2"/>
      <c r="O24" s="2"/>
      <c r="Q24" s="2">
        <f>SUM(OSRRefD14_6x)+IFERROR(SUM(OSRRefE14_6x),0)</f>
        <v>37341.68</v>
      </c>
    </row>
    <row r="25" spans="1:17" s="9" customFormat="1" hidden="1" outlineLevel="1" x14ac:dyDescent="0.3">
      <c r="A25" s="23"/>
      <c r="B25" s="10" t="str">
        <f>CONCATENATE("          ","5501", " - ","FREIGHT-IN-NEW TEXT")</f>
        <v xml:space="preserve">          5501 - FREIGHT-IN-NEW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","5502", " - ","FREIGHT-IN-USED TEXT")</f>
        <v xml:space="preserve">          5502 - FREIGHT-IN-USED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","5518", " - ","FREIGHT-IN-STUDY GUIDES")</f>
        <v xml:space="preserve">          5518 - FREIGHT-IN-STUDY GUIDES</v>
      </c>
      <c r="C27" s="22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17413.069999999992</v>
      </c>
      <c r="E29" s="7">
        <f t="shared" si="1"/>
        <v>207219.16000000003</v>
      </c>
      <c r="F29" s="7">
        <f t="shared" si="1"/>
        <v>8995.8799999999464</v>
      </c>
      <c r="G29" s="7">
        <f t="shared" si="1"/>
        <v>13295.629999999965</v>
      </c>
      <c r="H29" s="7">
        <f t="shared" si="1"/>
        <v>2440.8299999999936</v>
      </c>
      <c r="I29" s="7">
        <f t="shared" si="1"/>
        <v>9373.6199999999953</v>
      </c>
      <c r="J29" s="7">
        <f t="shared" si="1"/>
        <v>439942</v>
      </c>
      <c r="K29" s="7">
        <f t="shared" si="1"/>
        <v>54401</v>
      </c>
      <c r="L29" s="7">
        <f t="shared" si="1"/>
        <v>5331</v>
      </c>
      <c r="M29" s="7">
        <f t="shared" si="1"/>
        <v>5231</v>
      </c>
      <c r="N29" s="7">
        <f t="shared" si="1"/>
        <v>15459</v>
      </c>
      <c r="O29" s="7">
        <f t="shared" si="1"/>
        <v>6168</v>
      </c>
      <c r="Q29" s="7">
        <f>IFERROR(+Q10-Q17, 0)</f>
        <v>785270.19</v>
      </c>
    </row>
    <row r="30" spans="1:17" s="6" customFormat="1" x14ac:dyDescent="0.3">
      <c r="B30" s="16"/>
      <c r="C30" s="16"/>
      <c r="D30" s="4">
        <f t="shared" ref="D30:O30" si="2">IFERROR(D29/D10, 0)</f>
        <v>0.28033680207074563</v>
      </c>
      <c r="E30" s="4">
        <f t="shared" si="2"/>
        <v>0.20523441188702884</v>
      </c>
      <c r="F30" s="4">
        <f t="shared" si="2"/>
        <v>3.8385428294243969E-2</v>
      </c>
      <c r="G30" s="4">
        <f t="shared" si="2"/>
        <v>0.35344174003657775</v>
      </c>
      <c r="H30" s="4">
        <f t="shared" si="2"/>
        <v>0.30985026880525979</v>
      </c>
      <c r="I30" s="4">
        <f t="shared" si="2"/>
        <v>0.19539479937764623</v>
      </c>
      <c r="J30" s="4">
        <f t="shared" si="2"/>
        <v>0.27664784374882095</v>
      </c>
      <c r="K30" s="4">
        <f t="shared" si="2"/>
        <v>0.27673439073770745</v>
      </c>
      <c r="L30" s="4">
        <f t="shared" si="2"/>
        <v>0.27726634420346385</v>
      </c>
      <c r="M30" s="4">
        <f t="shared" si="2"/>
        <v>0.27730067854113655</v>
      </c>
      <c r="N30" s="4">
        <f t="shared" si="2"/>
        <v>0.2772069503469794</v>
      </c>
      <c r="O30" s="4">
        <f t="shared" si="2"/>
        <v>0.27793799567411681</v>
      </c>
      <c r="P30" s="18"/>
      <c r="Q30" s="4">
        <f>IFERROR(Q29/Q10, 0)</f>
        <v>0.23778039223335851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49140.74</v>
      </c>
      <c r="E32" s="12">
        <f>SUM(OSRRefD20x_1)</f>
        <v>53160.81</v>
      </c>
      <c r="F32" s="12">
        <f>SUM(OSRRefD20x_2)</f>
        <v>42592.3</v>
      </c>
      <c r="G32" s="12">
        <f>SUM(OSRRefD20x_3)</f>
        <v>47453.490000000005</v>
      </c>
      <c r="H32" s="12">
        <f>SUM(OSRRefD20x_4)</f>
        <v>40561.770000000011</v>
      </c>
      <c r="I32" s="12">
        <f>SUM(OSRRefD20x_5)</f>
        <v>46608.87000000001</v>
      </c>
      <c r="J32" s="12">
        <f>SUM(OSRRefE20x_0)</f>
        <v>80345.474916237203</v>
      </c>
      <c r="K32" s="12">
        <f>SUM(OSRRefE20x_1)</f>
        <v>47020.095388989714</v>
      </c>
      <c r="L32" s="12">
        <f>SUM(OSRRefE20x_2)</f>
        <v>45484.229754989719</v>
      </c>
      <c r="M32" s="12">
        <f>SUM(OSRRefE20x_3)</f>
        <v>54338.975590737195</v>
      </c>
      <c r="N32" s="12">
        <f>SUM(OSRRefE20x_4)</f>
        <v>45175.145897489718</v>
      </c>
      <c r="O32" s="12">
        <f>SUM(OSRRefE20x_5)</f>
        <v>58386.963591039719</v>
      </c>
      <c r="Q32" s="12">
        <f>SUM(OSRRefG20x)</f>
        <v>610268.86513948336</v>
      </c>
    </row>
    <row r="33" spans="1:17" s="35" customFormat="1" collapsed="1" x14ac:dyDescent="0.3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SUM(OSRRefD21_0x_4)</f>
        <v>12540.8</v>
      </c>
      <c r="I33" s="1">
        <f>SUM(OSRRefD21_0x_5)</f>
        <v>12486.67</v>
      </c>
      <c r="J33" s="1">
        <f>SUM(OSRRefE21_0x_0)</f>
        <v>17653.470484669899</v>
      </c>
      <c r="K33" s="1">
        <f>SUM(OSRRefE21_0x_1)</f>
        <v>13545.311843735913</v>
      </c>
      <c r="L33" s="1">
        <f>SUM(OSRRefE21_0x_2)</f>
        <v>13462.866209735916</v>
      </c>
      <c r="M33" s="1">
        <f>SUM(OSRRefE21_0x_3)</f>
        <v>15572.661159169898</v>
      </c>
      <c r="N33" s="1">
        <f>SUM(OSRRefE21_0x_4)</f>
        <v>13510.257352235916</v>
      </c>
      <c r="O33" s="1">
        <f>SUM(OSRRefE21_0x_5)</f>
        <v>13686.585045785916</v>
      </c>
      <c r="Q33" s="2">
        <f>SUM(OSRRefD20_0x)+IFERROR(SUM(OSRRefE20_0x),0)</f>
        <v>164396.21209533344</v>
      </c>
    </row>
    <row r="34" spans="1:17" s="35" customFormat="1" hidden="1" outlineLevel="1" x14ac:dyDescent="0.3">
      <c r="A34" s="34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1887.94</v>
      </c>
      <c r="I34" s="2">
        <v>1933.15</v>
      </c>
      <c r="J34" s="2">
        <v>3418.4145399747099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26782.952995918502</v>
      </c>
    </row>
    <row r="35" spans="1:17" s="35" customFormat="1" hidden="1" outlineLevel="1" x14ac:dyDescent="0.3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355.51</v>
      </c>
      <c r="I35" s="2">
        <v>354.74</v>
      </c>
      <c r="J35" s="2">
        <v>934.83843435000006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5903.5798946199993</v>
      </c>
    </row>
    <row r="36" spans="1:17" s="35" customFormat="1" hidden="1" outlineLevel="1" x14ac:dyDescent="0.3">
      <c r="A36" s="34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4593.8599999999997</v>
      </c>
      <c r="I36" s="2">
        <v>4593.8599999999997</v>
      </c>
      <c r="J36" s="2">
        <v>5620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60115.41</v>
      </c>
    </row>
    <row r="37" spans="1:17" s="35" customFormat="1" hidden="1" outlineLevel="1" x14ac:dyDescent="0.3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70.599999999999994</v>
      </c>
      <c r="I37" s="2">
        <v>70.459999999999994</v>
      </c>
      <c r="J37" s="2">
        <v>125.843635393269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957.16575504499974</v>
      </c>
    </row>
    <row r="38" spans="1:17" s="35" customFormat="1" hidden="1" outlineLevel="1" x14ac:dyDescent="0.3">
      <c r="A38" s="34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1671.39</v>
      </c>
      <c r="I38" s="2">
        <v>1671.39</v>
      </c>
      <c r="J38" s="2">
        <v>2080.8534770576898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21395.168080699979</v>
      </c>
    </row>
    <row r="39" spans="1:17" s="35" customFormat="1" hidden="1" outlineLevel="1" x14ac:dyDescent="0.3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3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>
        <v>274.61</v>
      </c>
      <c r="I40" s="2">
        <v>285.08999999999997</v>
      </c>
      <c r="J40" s="2"/>
      <c r="K40" s="2"/>
      <c r="L40" s="2"/>
      <c r="M40" s="2"/>
      <c r="N40" s="2"/>
      <c r="O40" s="2"/>
      <c r="P40" s="9"/>
      <c r="Q40" s="2">
        <f>SUM(OSRRefD21_0_6x)+IFERROR(SUM(OSRRefE21_0_6x),0)</f>
        <v>1807.95</v>
      </c>
    </row>
    <row r="41" spans="1:17" s="35" customFormat="1" hidden="1" outlineLevel="1" x14ac:dyDescent="0.3">
      <c r="A41" s="34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1600</v>
      </c>
      <c r="I41" s="2">
        <v>1532.44</v>
      </c>
      <c r="J41" s="2">
        <v>2111.4919273750002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20213.438022350001</v>
      </c>
    </row>
    <row r="42" spans="1:17" s="35" customFormat="1" hidden="1" outlineLevel="1" x14ac:dyDescent="0.3">
      <c r="A42" s="34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1114.74</v>
      </c>
      <c r="I42" s="2">
        <v>1114.74</v>
      </c>
      <c r="J42" s="2">
        <v>2312.0284705192298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16178.83734669998</v>
      </c>
    </row>
    <row r="43" spans="1:17" s="35" customFormat="1" hidden="1" outlineLevel="1" x14ac:dyDescent="0.3">
      <c r="A43" s="34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972.15</v>
      </c>
      <c r="I43" s="2">
        <v>930.8</v>
      </c>
      <c r="J43" s="2">
        <v>1050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11041.71</v>
      </c>
    </row>
    <row r="44" spans="1:17" s="35" customFormat="1" collapsed="1" x14ac:dyDescent="0.3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SUM(OSRRefD21_1x_4)</f>
        <v>23870.59</v>
      </c>
      <c r="I44" s="1">
        <f>SUM(OSRRefD21_1x_5)</f>
        <v>25995.670000000002</v>
      </c>
      <c r="J44" s="1">
        <f>SUM(OSRRefE21_1x_0)</f>
        <v>56812.0044315673</v>
      </c>
      <c r="K44" s="1">
        <f>SUM(OSRRefE21_1x_1)</f>
        <v>27869.783545253802</v>
      </c>
      <c r="L44" s="1">
        <f>SUM(OSRRefE21_1x_2)</f>
        <v>26141.3635452538</v>
      </c>
      <c r="M44" s="1">
        <f>SUM(OSRRefE21_1x_3)</f>
        <v>33286.314431567298</v>
      </c>
      <c r="N44" s="1">
        <f>SUM(OSRRefE21_1x_4)</f>
        <v>27134.888545253802</v>
      </c>
      <c r="O44" s="1">
        <f>SUM(OSRRefE21_1x_5)</f>
        <v>27620.378545253803</v>
      </c>
      <c r="Q44" s="2">
        <f>SUM(OSRRefD20_1x)+IFERROR(SUM(OSRRefE20_1x),0)</f>
        <v>374046.64304414985</v>
      </c>
    </row>
    <row r="45" spans="1:17" s="35" customFormat="1" hidden="1" outlineLevel="1" x14ac:dyDescent="0.3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3">
      <c r="A46" s="34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15611.26</v>
      </c>
      <c r="I46" s="2">
        <v>16929.34</v>
      </c>
      <c r="J46" s="2">
        <v>21617.1259715673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214617.55505214981</v>
      </c>
    </row>
    <row r="47" spans="1:17" s="35" customFormat="1" hidden="1" outlineLevel="1" x14ac:dyDescent="0.3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3">
      <c r="A48" s="34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4911.74</v>
      </c>
      <c r="I48" s="2">
        <v>5854.93</v>
      </c>
      <c r="J48" s="2">
        <v>7410.7284600000003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74098.917992000002</v>
      </c>
    </row>
    <row r="49" spans="1:17" s="35" customFormat="1" hidden="1" outlineLevel="1" x14ac:dyDescent="0.3">
      <c r="A49" s="34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2066.79</v>
      </c>
      <c r="I49" s="2">
        <v>2090.66</v>
      </c>
      <c r="J49" s="2">
        <v>3009.34</v>
      </c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28357.47</v>
      </c>
    </row>
    <row r="50" spans="1:17" s="35" customFormat="1" hidden="1" outlineLevel="1" x14ac:dyDescent="0.3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3">
      <c r="A51" s="34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1280.8</v>
      </c>
      <c r="I51" s="2">
        <v>1120.74</v>
      </c>
      <c r="J51" s="2">
        <v>12526.25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33273.175000000003</v>
      </c>
    </row>
    <row r="52" spans="1:17" s="35" customFormat="1" hidden="1" outlineLevel="1" x14ac:dyDescent="0.3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/>
      <c r="I52" s="2"/>
      <c r="J52" s="2">
        <v>12248.56</v>
      </c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23699.524999999998</v>
      </c>
    </row>
    <row r="53" spans="1:17" s="35" customFormat="1" hidden="1" outlineLevel="1" x14ac:dyDescent="0.3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3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3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SUM(OSRRefD21_2x_4)</f>
        <v>0.66</v>
      </c>
      <c r="I55" s="1">
        <f>SUM(OSRRefD21_2x_5)</f>
        <v>563.54</v>
      </c>
      <c r="J55" s="1">
        <f>SUM(OSRRefE21_2x_0)</f>
        <v>400</v>
      </c>
      <c r="K55" s="1">
        <f>SUM(OSRRefE21_2x_1)</f>
        <v>100</v>
      </c>
      <c r="L55" s="1">
        <f>SUM(OSRRefE21_2x_2)</f>
        <v>100</v>
      </c>
      <c r="M55" s="1">
        <f>SUM(OSRRefE21_2x_3)</f>
        <v>100</v>
      </c>
      <c r="N55" s="1">
        <f>SUM(OSRRefE21_2x_4)</f>
        <v>200</v>
      </c>
      <c r="O55" s="1">
        <f>SUM(OSRRefE21_2x_5)</f>
        <v>100</v>
      </c>
      <c r="Q55" s="2">
        <f>SUM(OSRRefD20_2x)+IFERROR(SUM(OSRRefE20_2x),0)</f>
        <v>1797.25</v>
      </c>
    </row>
    <row r="56" spans="1:17" s="35" customFormat="1" hidden="1" outlineLevel="1" x14ac:dyDescent="0.3">
      <c r="A56" s="34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0.66</v>
      </c>
      <c r="I56" s="2">
        <v>563.54</v>
      </c>
      <c r="J56" s="2">
        <v>400</v>
      </c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1797.25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SUM(OSRRefD21_3x_4)</f>
        <v>0</v>
      </c>
      <c r="I57" s="1">
        <f>SUM(OSRRefD21_3x_5)</f>
        <v>0</v>
      </c>
      <c r="J57" s="1">
        <f>SUM(OSRRefE21_3x_0)</f>
        <v>50</v>
      </c>
      <c r="K57" s="1">
        <f>SUM(OSRRefE21_3x_1)</f>
        <v>50</v>
      </c>
      <c r="L57" s="1">
        <f>SUM(OSRRefE21_3x_2)</f>
        <v>50</v>
      </c>
      <c r="M57" s="1">
        <f>SUM(OSRRefE21_3x_3)</f>
        <v>50</v>
      </c>
      <c r="N57" s="1">
        <f>SUM(OSRRefE21_3x_4)</f>
        <v>50</v>
      </c>
      <c r="O57" s="1">
        <f>SUM(OSRRefE21_3x_5)</f>
        <v>50</v>
      </c>
      <c r="Q57" s="2">
        <f>SUM(OSRRefD20_3x)+IFERROR(SUM(OSRRefE20_3x),0)</f>
        <v>300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/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SUM(OSRRefD21_3_0x)+IFERROR(SUM(OSRRefE21_3_0x),0)</f>
        <v>300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SUM(OSRRefD21_4x_0)</f>
        <v>91.26</v>
      </c>
      <c r="E59" s="1">
        <f>SUM(OSRRefD21_4x_1)</f>
        <v>91.26</v>
      </c>
      <c r="F59" s="1">
        <f>SUM(OSRRefD21_4x_2)</f>
        <v>91.26</v>
      </c>
      <c r="G59" s="1">
        <f>SUM(OSRRefD21_4x_3)</f>
        <v>91.26</v>
      </c>
      <c r="H59" s="1">
        <f>SUM(OSRRefD21_4x_4)</f>
        <v>91.26</v>
      </c>
      <c r="I59" s="1">
        <f>SUM(OSRRefD21_4x_5)</f>
        <v>91.26</v>
      </c>
      <c r="J59" s="1">
        <f>SUM(OSRRefE21_4x_0)</f>
        <v>100</v>
      </c>
      <c r="K59" s="1">
        <f>SUM(OSRRefE21_4x_1)</f>
        <v>100</v>
      </c>
      <c r="L59" s="1">
        <f>SUM(OSRRefE21_4x_2)</f>
        <v>100</v>
      </c>
      <c r="M59" s="1">
        <f>SUM(OSRRefE21_4x_3)</f>
        <v>100</v>
      </c>
      <c r="N59" s="1">
        <f>SUM(OSRRefE21_4x_4)</f>
        <v>100</v>
      </c>
      <c r="O59" s="1">
        <f>SUM(OSRRefE21_4x_5)</f>
        <v>100</v>
      </c>
      <c r="Q59" s="2">
        <f>SUM(OSRRefD20_4x)+IFERROR(SUM(OSRRefE20_4x),0)</f>
        <v>1147.56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91.26</v>
      </c>
      <c r="E60" s="2">
        <v>91.26</v>
      </c>
      <c r="F60" s="2">
        <v>91.26</v>
      </c>
      <c r="G60" s="2">
        <v>91.26</v>
      </c>
      <c r="H60" s="2">
        <v>91.26</v>
      </c>
      <c r="I60" s="2">
        <v>91.26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SUM(OSRRefD21_4_0x)+IFERROR(SUM(OSRRefE21_4_0x),0)</f>
        <v>1147.56</v>
      </c>
    </row>
    <row r="61" spans="1:17" s="35" customFormat="1" collapsed="1" x14ac:dyDescent="0.3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132.66999999999999</v>
      </c>
      <c r="E61" s="1">
        <f>SUM(OSRRefD21_5x_1)</f>
        <v>163.30000000000001</v>
      </c>
      <c r="F61" s="1">
        <f>SUM(OSRRefD21_5x_2)</f>
        <v>84.57</v>
      </c>
      <c r="G61" s="1">
        <f>SUM(OSRRefD21_5x_3)</f>
        <v>13.21</v>
      </c>
      <c r="H61" s="1">
        <f>SUM(OSRRefD21_5x_4)</f>
        <v>2119.1</v>
      </c>
      <c r="I61" s="1">
        <f>SUM(OSRRefD21_5x_5)</f>
        <v>1977.93</v>
      </c>
      <c r="J61" s="1">
        <f>SUM(OSRRefE21_5x_0)</f>
        <v>800</v>
      </c>
      <c r="K61" s="1">
        <f>SUM(OSRRefE21_5x_1)</f>
        <v>1800</v>
      </c>
      <c r="L61" s="1">
        <f>SUM(OSRRefE21_5x_2)</f>
        <v>3200</v>
      </c>
      <c r="M61" s="1">
        <f>SUM(OSRRefE21_5x_3)</f>
        <v>2300</v>
      </c>
      <c r="N61" s="1">
        <f>SUM(OSRRefE21_5x_4)</f>
        <v>1000</v>
      </c>
      <c r="O61" s="1">
        <f>SUM(OSRRefE21_5x_5)</f>
        <v>500</v>
      </c>
      <c r="Q61" s="2">
        <f>SUM(OSRRefD20_5x)+IFERROR(SUM(OSRRefE20_5x),0)</f>
        <v>14090.779999999999</v>
      </c>
    </row>
    <row r="62" spans="1:17" s="35" customFormat="1" hidden="1" outlineLevel="1" x14ac:dyDescent="0.3">
      <c r="A62" s="34"/>
      <c r="B62" s="10" t="str">
        <f>CONCATENATE("          ","6305", " - ","FREIGHT OUT")</f>
        <v xml:space="preserve">          6305 - FREIGHT OUT</v>
      </c>
      <c r="C62" s="14"/>
      <c r="D62" s="2">
        <v>132.66999999999999</v>
      </c>
      <c r="E62" s="2">
        <v>163.30000000000001</v>
      </c>
      <c r="F62" s="2">
        <v>84.57</v>
      </c>
      <c r="G62" s="2">
        <v>13.21</v>
      </c>
      <c r="H62" s="2">
        <v>2119.1</v>
      </c>
      <c r="I62" s="2">
        <v>1977.93</v>
      </c>
      <c r="J62" s="2">
        <v>800</v>
      </c>
      <c r="K62" s="2">
        <v>1800</v>
      </c>
      <c r="L62" s="2">
        <v>3200</v>
      </c>
      <c r="M62" s="2">
        <v>2300</v>
      </c>
      <c r="N62" s="2">
        <v>1000</v>
      </c>
      <c r="O62" s="2">
        <v>500</v>
      </c>
      <c r="P62" s="9"/>
      <c r="Q62" s="2">
        <f>SUM(OSRRefD21_5_0x)+IFERROR(SUM(OSRRefE21_5_0x),0)</f>
        <v>14090.779999999999</v>
      </c>
    </row>
    <row r="63" spans="1:17" s="35" customFormat="1" collapsed="1" x14ac:dyDescent="0.3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SUM(OSRRefD21_6x_5)</f>
        <v>0</v>
      </c>
      <c r="J63" s="1">
        <f>SUM(OSRRefE21_6x_0)</f>
        <v>0</v>
      </c>
      <c r="K63" s="1">
        <f>SUM(OSRRefE21_6x_1)</f>
        <v>125</v>
      </c>
      <c r="L63" s="1">
        <f>SUM(OSRRefE21_6x_2)</f>
        <v>0</v>
      </c>
      <c r="M63" s="1">
        <f>SUM(OSRRefE21_6x_3)</f>
        <v>500</v>
      </c>
      <c r="N63" s="1">
        <f>SUM(OSRRefE21_6x_4)</f>
        <v>750</v>
      </c>
      <c r="O63" s="1">
        <f>SUM(OSRRefE21_6x_5)</f>
        <v>0</v>
      </c>
      <c r="Q63" s="2">
        <f>SUM(OSRRefD20_6x)+IFERROR(SUM(OSRRefE20_6x),0)</f>
        <v>1375</v>
      </c>
    </row>
    <row r="64" spans="1:17" s="35" customFormat="1" hidden="1" outlineLevel="1" x14ac:dyDescent="0.3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/>
      <c r="J64" s="2">
        <v>0</v>
      </c>
      <c r="K64" s="2">
        <v>125</v>
      </c>
      <c r="L64" s="2">
        <v>0</v>
      </c>
      <c r="M64" s="2">
        <v>500</v>
      </c>
      <c r="N64" s="2">
        <v>750</v>
      </c>
      <c r="O64" s="2">
        <v>0</v>
      </c>
      <c r="P64" s="9"/>
      <c r="Q64" s="2">
        <f>SUM(OSRRefD21_6_0x)+IFERROR(SUM(OSRRefE21_6_0x),0)</f>
        <v>1375</v>
      </c>
    </row>
    <row r="65" spans="1:17" s="35" customFormat="1" collapsed="1" x14ac:dyDescent="0.3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1000</v>
      </c>
      <c r="E65" s="1">
        <f>SUM(OSRRefD21_7x_1)</f>
        <v>1000</v>
      </c>
      <c r="F65" s="1">
        <f>SUM(OSRRefD21_7x_2)</f>
        <v>1000</v>
      </c>
      <c r="G65" s="1">
        <f>SUM(OSRRefD21_7x_3)</f>
        <v>1000</v>
      </c>
      <c r="H65" s="1">
        <f>SUM(OSRRefD21_7x_4)</f>
        <v>1000</v>
      </c>
      <c r="I65" s="1">
        <f>SUM(OSRRefD21_7x_5)</f>
        <v>5000</v>
      </c>
      <c r="J65" s="1">
        <f>SUM(OSRRefE21_7x_0)</f>
        <v>1000</v>
      </c>
      <c r="K65" s="1">
        <f>SUM(OSRRefE21_7x_1)</f>
        <v>1000</v>
      </c>
      <c r="L65" s="1">
        <f>SUM(OSRRefE21_7x_2)</f>
        <v>1000</v>
      </c>
      <c r="M65" s="1">
        <f>SUM(OSRRefE21_7x_3)</f>
        <v>1000</v>
      </c>
      <c r="N65" s="1">
        <f>SUM(OSRRefE21_7x_4)</f>
        <v>1000</v>
      </c>
      <c r="O65" s="1">
        <f>SUM(OSRRefE21_7x_5)</f>
        <v>15000</v>
      </c>
      <c r="Q65" s="2">
        <f>SUM(OSRRefD20_7x)+IFERROR(SUM(OSRRefE20_7x),0)</f>
        <v>30000</v>
      </c>
    </row>
    <row r="66" spans="1:17" s="35" customFormat="1" hidden="1" outlineLevel="1" x14ac:dyDescent="0.3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1000</v>
      </c>
      <c r="E66" s="2">
        <v>1000</v>
      </c>
      <c r="F66" s="2">
        <v>1000</v>
      </c>
      <c r="G66" s="2">
        <v>1000</v>
      </c>
      <c r="H66" s="2">
        <v>1000</v>
      </c>
      <c r="I66" s="2">
        <v>5000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15000</v>
      </c>
      <c r="P66" s="9"/>
      <c r="Q66" s="2">
        <f>SUM(OSRRefD21_7_0x)+IFERROR(SUM(OSRRefE21_7_0x),0)</f>
        <v>30000</v>
      </c>
    </row>
    <row r="67" spans="1:17" s="35" customFormat="1" collapsed="1" x14ac:dyDescent="0.3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SUM(OSRRefD21_8x_0)</f>
        <v>2900.53</v>
      </c>
      <c r="E67" s="1">
        <f>SUM(OSRRefD21_8x_1)</f>
        <v>0</v>
      </c>
      <c r="F67" s="1">
        <f>SUM(OSRRefD21_8x_2)</f>
        <v>0</v>
      </c>
      <c r="G67" s="1">
        <f>SUM(OSRRefD21_8x_3)</f>
        <v>2932.91</v>
      </c>
      <c r="H67" s="1">
        <f>SUM(OSRRefD21_8x_4)</f>
        <v>21</v>
      </c>
      <c r="I67" s="1">
        <f>SUM(OSRRefD21_8x_5)</f>
        <v>14.62</v>
      </c>
      <c r="J67" s="1">
        <f>SUM(OSRRefE21_8x_0)</f>
        <v>80</v>
      </c>
      <c r="K67" s="1">
        <f>SUM(OSRRefE21_8x_1)</f>
        <v>80</v>
      </c>
      <c r="L67" s="1">
        <f>SUM(OSRRefE21_8x_2)</f>
        <v>80</v>
      </c>
      <c r="M67" s="1">
        <f>SUM(OSRRefE21_8x_3)</f>
        <v>80</v>
      </c>
      <c r="N67" s="1">
        <f>SUM(OSRRefE21_8x_4)</f>
        <v>80</v>
      </c>
      <c r="O67" s="1">
        <f>SUM(OSRRefE21_8x_5)</f>
        <v>80</v>
      </c>
      <c r="Q67" s="2">
        <f>SUM(OSRRefD20_8x)+IFERROR(SUM(OSRRefE20_8x),0)</f>
        <v>6349.06</v>
      </c>
    </row>
    <row r="68" spans="1:17" s="35" customFormat="1" hidden="1" outlineLevel="1" x14ac:dyDescent="0.3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2887.5</v>
      </c>
      <c r="E68" s="2">
        <v>0</v>
      </c>
      <c r="F68" s="2"/>
      <c r="G68" s="2">
        <v>2887.5</v>
      </c>
      <c r="H68" s="2"/>
      <c r="I68" s="2"/>
      <c r="J68" s="2"/>
      <c r="K68" s="2"/>
      <c r="L68" s="2"/>
      <c r="M68" s="2"/>
      <c r="N68" s="2">
        <v>0</v>
      </c>
      <c r="O68" s="2"/>
      <c r="P68" s="9"/>
      <c r="Q68" s="2">
        <f>SUM(OSRRefD21_8_0x)+IFERROR(SUM(OSRRefE21_8_0x),0)</f>
        <v>5775</v>
      </c>
    </row>
    <row r="69" spans="1:17" s="35" customFormat="1" hidden="1" outlineLevel="1" x14ac:dyDescent="0.3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13.03</v>
      </c>
      <c r="E69" s="2"/>
      <c r="F69" s="2"/>
      <c r="G69" s="2">
        <v>45.41</v>
      </c>
      <c r="H69" s="2">
        <v>21</v>
      </c>
      <c r="I69" s="2">
        <v>14.62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SUM(OSRRefD21_8_1x)+IFERROR(SUM(OSRRefE21_8_1x),0)</f>
        <v>334.06</v>
      </c>
    </row>
    <row r="70" spans="1:17" s="35" customFormat="1" hidden="1" outlineLevel="1" x14ac:dyDescent="0.3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/>
      <c r="E70" s="2"/>
      <c r="F70" s="2"/>
      <c r="G70" s="2"/>
      <c r="H70" s="2"/>
      <c r="I70" s="2"/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SUM(OSRRefD21_8_2x)+IFERROR(SUM(OSRRefE21_8_2x),0)</f>
        <v>240</v>
      </c>
    </row>
    <row r="71" spans="1:17" s="35" customFormat="1" collapsed="1" x14ac:dyDescent="0.3">
      <c r="A71" s="34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SUM(OSRRefD21_9x_0)</f>
        <v>68.319999999999993</v>
      </c>
      <c r="E71" s="1">
        <f>SUM(OSRRefD21_9x_1)</f>
        <v>57</v>
      </c>
      <c r="F71" s="1">
        <f>SUM(OSRRefD21_9x_2)</f>
        <v>47.44</v>
      </c>
      <c r="G71" s="1">
        <f>SUM(OSRRefD21_9x_3)</f>
        <v>904.08</v>
      </c>
      <c r="H71" s="1">
        <f>SUM(OSRRefD21_9x_4)</f>
        <v>148.66</v>
      </c>
      <c r="I71" s="1">
        <f>SUM(OSRRefD21_9x_5)</f>
        <v>286.24</v>
      </c>
      <c r="J71" s="1">
        <f>SUM(OSRRefE21_9x_0)</f>
        <v>2200</v>
      </c>
      <c r="K71" s="1">
        <f>SUM(OSRRefE21_9x_1)</f>
        <v>300</v>
      </c>
      <c r="L71" s="1">
        <f>SUM(OSRRefE21_9x_2)</f>
        <v>300</v>
      </c>
      <c r="M71" s="1">
        <f>SUM(OSRRefE21_9x_3)</f>
        <v>300</v>
      </c>
      <c r="N71" s="1">
        <f>SUM(OSRRefE21_9x_4)</f>
        <v>300</v>
      </c>
      <c r="O71" s="1">
        <f>SUM(OSRRefE21_9x_5)</f>
        <v>300</v>
      </c>
      <c r="Q71" s="2">
        <f>SUM(OSRRefD20_9x)+IFERROR(SUM(OSRRefE20_9x),0)</f>
        <v>5211.74</v>
      </c>
    </row>
    <row r="72" spans="1:17" s="35" customFormat="1" hidden="1" outlineLevel="1" x14ac:dyDescent="0.3">
      <c r="A72" s="34"/>
      <c r="B72" s="10" t="str">
        <f>CONCATENATE("          ","6258", " - ","MEMBERSHIP DUES")</f>
        <v xml:space="preserve">          6258 - MEMBERSHIP DUES</v>
      </c>
      <c r="C72" s="14"/>
      <c r="D72" s="2">
        <v>68.319999999999993</v>
      </c>
      <c r="E72" s="2">
        <v>57</v>
      </c>
      <c r="F72" s="2">
        <v>47.44</v>
      </c>
      <c r="G72" s="2">
        <v>904.08</v>
      </c>
      <c r="H72" s="2">
        <v>148.66</v>
      </c>
      <c r="I72" s="2">
        <v>286.24</v>
      </c>
      <c r="J72" s="2">
        <v>300</v>
      </c>
      <c r="K72" s="2">
        <v>300</v>
      </c>
      <c r="L72" s="2">
        <v>300</v>
      </c>
      <c r="M72" s="2">
        <v>300</v>
      </c>
      <c r="N72" s="2">
        <v>300</v>
      </c>
      <c r="O72" s="2">
        <v>300</v>
      </c>
      <c r="P72" s="9"/>
      <c r="Q72" s="2">
        <f>SUM(OSRRefD21_9_0x)+IFERROR(SUM(OSRRefE21_9_0x),0)</f>
        <v>3311.7400000000002</v>
      </c>
    </row>
    <row r="73" spans="1:17" s="35" customFormat="1" hidden="1" outlineLevel="1" x14ac:dyDescent="0.3">
      <c r="A73" s="34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1900</v>
      </c>
      <c r="K73" s="2"/>
      <c r="L73" s="2"/>
      <c r="M73" s="2"/>
      <c r="N73" s="2"/>
      <c r="O73" s="2"/>
      <c r="P73" s="9"/>
      <c r="Q73" s="2">
        <f>SUM(OSRRefD21_9_1x)+IFERROR(SUM(OSRRefE21_9_1x),0)</f>
        <v>1900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SUM(OSRRefD21_10x_0)</f>
        <v>115.74</v>
      </c>
      <c r="E74" s="1">
        <f>SUM(OSRRefD21_10x_1)</f>
        <v>485.61</v>
      </c>
      <c r="F74" s="1">
        <f>SUM(OSRRefD21_10x_2)</f>
        <v>8.5399999999999991</v>
      </c>
      <c r="G74" s="1">
        <f>SUM(OSRRefD21_10x_3)</f>
        <v>127.04</v>
      </c>
      <c r="H74" s="1">
        <f>SUM(OSRRefD21_10x_4)</f>
        <v>207.4</v>
      </c>
      <c r="I74" s="1">
        <f>SUM(OSRRefD21_10x_5)</f>
        <v>131.44</v>
      </c>
      <c r="J74" s="1">
        <f>SUM(OSRRefE21_10x_0)</f>
        <v>800</v>
      </c>
      <c r="K74" s="1">
        <f>SUM(OSRRefE21_10x_1)</f>
        <v>1700</v>
      </c>
      <c r="L74" s="1">
        <f>SUM(OSRRefE21_10x_2)</f>
        <v>700</v>
      </c>
      <c r="M74" s="1">
        <f>SUM(OSRRefE21_10x_3)</f>
        <v>700</v>
      </c>
      <c r="N74" s="1">
        <f>SUM(OSRRefE21_10x_4)</f>
        <v>700</v>
      </c>
      <c r="O74" s="1">
        <f>SUM(OSRRefE21_10x_5)</f>
        <v>600</v>
      </c>
      <c r="Q74" s="2">
        <f>SUM(OSRRefD20_10x)+IFERROR(SUM(OSRRefE20_10x),0)</f>
        <v>6275.77</v>
      </c>
    </row>
    <row r="75" spans="1:17" s="35" customFormat="1" hidden="1" outlineLevel="1" x14ac:dyDescent="0.3">
      <c r="A75" s="34"/>
      <c r="B75" s="10" t="str">
        <f>CONCATENATE("          ","6241", " - ","OFFICE EXPENSE")</f>
        <v xml:space="preserve">          6241 - OFFICE EXPENSE</v>
      </c>
      <c r="C75" s="14"/>
      <c r="D75" s="2">
        <v>115.74</v>
      </c>
      <c r="E75" s="2">
        <v>485.61</v>
      </c>
      <c r="F75" s="2">
        <v>8.5399999999999991</v>
      </c>
      <c r="G75" s="2">
        <v>127.04</v>
      </c>
      <c r="H75" s="2">
        <v>207.4</v>
      </c>
      <c r="I75" s="2">
        <v>131.44</v>
      </c>
      <c r="J75" s="2">
        <v>500</v>
      </c>
      <c r="K75" s="2">
        <v>500</v>
      </c>
      <c r="L75" s="2">
        <v>300</v>
      </c>
      <c r="M75" s="2">
        <v>300</v>
      </c>
      <c r="N75" s="2">
        <v>300</v>
      </c>
      <c r="O75" s="2">
        <v>200</v>
      </c>
      <c r="P75" s="9"/>
      <c r="Q75" s="2">
        <f>SUM(OSRRefD21_10_0x)+IFERROR(SUM(OSRRefE21_10_0x),0)</f>
        <v>3175.77</v>
      </c>
    </row>
    <row r="76" spans="1:17" s="35" customFormat="1" hidden="1" outlineLevel="1" x14ac:dyDescent="0.3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/>
      <c r="F76" s="2"/>
      <c r="G76" s="2"/>
      <c r="H76" s="2"/>
      <c r="I76" s="2"/>
      <c r="J76" s="2">
        <v>300</v>
      </c>
      <c r="K76" s="2">
        <v>1200</v>
      </c>
      <c r="L76" s="2">
        <v>400</v>
      </c>
      <c r="M76" s="2">
        <v>400</v>
      </c>
      <c r="N76" s="2">
        <v>400</v>
      </c>
      <c r="O76" s="2">
        <v>400</v>
      </c>
      <c r="P76" s="9"/>
      <c r="Q76" s="2">
        <f>SUM(OSRRefD21_10_1x)+IFERROR(SUM(OSRRefE21_10_1x),0)</f>
        <v>3100</v>
      </c>
    </row>
    <row r="77" spans="1:17" s="35" customFormat="1" collapsed="1" x14ac:dyDescent="0.3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SUM(OSRRefD21_11x_0)</f>
        <v>607.4</v>
      </c>
      <c r="E77" s="1">
        <f>SUM(OSRRefD21_11x_1)</f>
        <v>820.9</v>
      </c>
      <c r="F77" s="1">
        <f>SUM(OSRRefD21_11x_2)</f>
        <v>414.85</v>
      </c>
      <c r="G77" s="1">
        <f>SUM(OSRRefD21_11x_3)</f>
        <v>611.9</v>
      </c>
      <c r="H77" s="1">
        <f>SUM(OSRRefD21_11x_4)</f>
        <v>562.29999999999995</v>
      </c>
      <c r="I77" s="1">
        <f>SUM(OSRRefD21_11x_5)</f>
        <v>61.5</v>
      </c>
      <c r="J77" s="1">
        <f>SUM(OSRRefE21_11x_0)</f>
        <v>450</v>
      </c>
      <c r="K77" s="1">
        <f>SUM(OSRRefE21_11x_1)</f>
        <v>350</v>
      </c>
      <c r="L77" s="1">
        <f>SUM(OSRRefE21_11x_2)</f>
        <v>350</v>
      </c>
      <c r="M77" s="1">
        <f>SUM(OSRRefE21_11x_3)</f>
        <v>350</v>
      </c>
      <c r="N77" s="1">
        <f>SUM(OSRRefE21_11x_4)</f>
        <v>350</v>
      </c>
      <c r="O77" s="1">
        <f>SUM(OSRRefE21_11x_5)</f>
        <v>350</v>
      </c>
      <c r="Q77" s="2">
        <f>SUM(OSRRefD20_11x)+IFERROR(SUM(OSRRefE20_11x),0)</f>
        <v>5278.85</v>
      </c>
    </row>
    <row r="78" spans="1:17" s="35" customFormat="1" hidden="1" outlineLevel="1" x14ac:dyDescent="0.3">
      <c r="A78" s="34"/>
      <c r="B78" s="10" t="str">
        <f>CONCATENATE("          ","6303", " - ","DATA PHONE LINES")</f>
        <v xml:space="preserve">          6303 - DATA PHONE LINES</v>
      </c>
      <c r="C78" s="14"/>
      <c r="D78" s="2">
        <v>295</v>
      </c>
      <c r="E78" s="2"/>
      <c r="F78" s="2"/>
      <c r="G78" s="2"/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SUM(OSRRefD21_11_0x)+IFERROR(SUM(OSRRefE21_11_0x),0)</f>
        <v>295</v>
      </c>
    </row>
    <row r="79" spans="1:17" s="35" customFormat="1" hidden="1" outlineLevel="1" x14ac:dyDescent="0.3">
      <c r="A79" s="34"/>
      <c r="B79" s="10" t="str">
        <f>CONCATENATE("          ","6309", " - ","TELEPHONE")</f>
        <v xml:space="preserve">          6309 - TELEPHONE</v>
      </c>
      <c r="C79" s="14"/>
      <c r="D79" s="2">
        <v>312.39999999999998</v>
      </c>
      <c r="E79" s="2">
        <v>820.9</v>
      </c>
      <c r="F79" s="2">
        <v>414.85</v>
      </c>
      <c r="G79" s="2">
        <v>611.9</v>
      </c>
      <c r="H79" s="2">
        <v>562.29999999999995</v>
      </c>
      <c r="I79" s="2">
        <v>61.5</v>
      </c>
      <c r="J79" s="2">
        <v>450</v>
      </c>
      <c r="K79" s="2">
        <v>350</v>
      </c>
      <c r="L79" s="2">
        <v>350</v>
      </c>
      <c r="M79" s="2">
        <v>350</v>
      </c>
      <c r="N79" s="2">
        <v>350</v>
      </c>
      <c r="O79" s="2">
        <v>350</v>
      </c>
      <c r="P79" s="9"/>
      <c r="Q79" s="2">
        <f>SUM(OSRRefD21_11_1x)+IFERROR(SUM(OSRRefE21_11_1x),0)</f>
        <v>4983.8500000000004</v>
      </c>
    </row>
    <row r="80" spans="1:17" s="35" customFormat="1" collapsed="1" x14ac:dyDescent="0.3">
      <c r="A80" s="34"/>
      <c r="B80" s="14" t="str">
        <f>CONCATENATE("     ","Training                                          ")</f>
        <v xml:space="preserve">     Training                                          </v>
      </c>
      <c r="C80" s="14"/>
      <c r="D80" s="1">
        <f>SUM(OSRRefD21_12x_0)</f>
        <v>0</v>
      </c>
      <c r="E80" s="1">
        <f>SUM(OSRRefD21_12x_1)</f>
        <v>0</v>
      </c>
      <c r="F80" s="1">
        <f>SUM(OSRRefD21_12x_2)</f>
        <v>0</v>
      </c>
      <c r="G80" s="1">
        <f>SUM(OSRRefD21_12x_3)</f>
        <v>0</v>
      </c>
      <c r="H80" s="1">
        <f>SUM(OSRRefD21_12x_4)</f>
        <v>0</v>
      </c>
      <c r="I80" s="1">
        <f>SUM(OSRRefD21_12x_5)</f>
        <v>0</v>
      </c>
      <c r="J80" s="1">
        <f>SUM(OSRRefE21_12x_0)</f>
        <v>0</v>
      </c>
      <c r="K80" s="1">
        <f>SUM(OSRRefE21_12x_1)</f>
        <v>0</v>
      </c>
      <c r="L80" s="1">
        <f>SUM(OSRRefE21_12x_2)</f>
        <v>0</v>
      </c>
      <c r="M80" s="1">
        <f>SUM(OSRRefE21_12x_3)</f>
        <v>0</v>
      </c>
      <c r="N80" s="1">
        <f>SUM(OSRRefE21_12x_4)</f>
        <v>0</v>
      </c>
      <c r="O80" s="1">
        <f>SUM(OSRRefE21_12x_5)</f>
        <v>0</v>
      </c>
      <c r="Q80" s="2">
        <f>SUM(OSRRefD20_12x)+IFERROR(SUM(OSRRefE20_12x),0)</f>
        <v>0</v>
      </c>
    </row>
    <row r="81" spans="1:17" s="35" customFormat="1" hidden="1" outlineLevel="1" x14ac:dyDescent="0.3">
      <c r="A81" s="34"/>
      <c r="B81" s="10" t="str">
        <f>CONCATENATE("          ","6376", " - ","TRAINING")</f>
        <v xml:space="preserve">          6376 - TRAINING</v>
      </c>
      <c r="C81" s="14"/>
      <c r="D81" s="2"/>
      <c r="E81" s="2"/>
      <c r="F81" s="2"/>
      <c r="G81" s="2"/>
      <c r="H81" s="2"/>
      <c r="I81" s="2"/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SUM(OSRRefD21_12_0x)+IFERROR(SUM(OSRRefE21_12_0x),0)</f>
        <v>0</v>
      </c>
    </row>
    <row r="82" spans="1:17" s="29" customFormat="1" x14ac:dyDescent="0.3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3">
      <c r="A83" s="23"/>
      <c r="B83" s="16" t="s">
        <v>293</v>
      </c>
      <c r="C83" s="22"/>
      <c r="D83" s="3">
        <f>--631.94</f>
        <v>631.94000000000005</v>
      </c>
      <c r="E83" s="3">
        <f>--28343.09</f>
        <v>28343.09</v>
      </c>
      <c r="F83" s="3">
        <f>--158981.45</f>
        <v>158981.45000000001</v>
      </c>
      <c r="G83" s="3">
        <f>--1715.41</f>
        <v>1715.41</v>
      </c>
      <c r="H83" s="3">
        <f>--300.14</f>
        <v>300.14</v>
      </c>
      <c r="I83" s="3">
        <f>--931.69</f>
        <v>931.69</v>
      </c>
      <c r="J83" s="3">
        <v>8853.33</v>
      </c>
      <c r="K83" s="3">
        <v>166302.39999999999</v>
      </c>
      <c r="L83" s="3">
        <v>459</v>
      </c>
      <c r="M83" s="3">
        <v>215</v>
      </c>
      <c r="N83" s="3">
        <v>6454</v>
      </c>
      <c r="O83" s="3">
        <v>8042</v>
      </c>
      <c r="Q83" s="2">
        <f>SUM(OSRRefD23_0x)+IFERROR(SUM(OSRRefE23_0x),0)</f>
        <v>381229.45</v>
      </c>
    </row>
    <row r="84" spans="1:17" x14ac:dyDescent="0.3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6"/>
      <c r="B85" s="17" t="s">
        <v>276</v>
      </c>
      <c r="C85" s="17"/>
      <c r="D85" s="7">
        <f t="shared" ref="D85:O85" si="3">IFERROR(+D29-D32+D83, 0)</f>
        <v>-31095.730000000007</v>
      </c>
      <c r="E85" s="7">
        <f t="shared" si="3"/>
        <v>182401.44000000003</v>
      </c>
      <c r="F85" s="7">
        <f t="shared" si="3"/>
        <v>125385.02999999996</v>
      </c>
      <c r="G85" s="7">
        <f t="shared" si="3"/>
        <v>-32442.450000000044</v>
      </c>
      <c r="H85" s="7">
        <f t="shared" si="3"/>
        <v>-37820.800000000017</v>
      </c>
      <c r="I85" s="7">
        <f t="shared" si="3"/>
        <v>-36303.560000000012</v>
      </c>
      <c r="J85" s="7">
        <f t="shared" si="3"/>
        <v>368449.85508376284</v>
      </c>
      <c r="K85" s="7">
        <f t="shared" si="3"/>
        <v>173683.30461101027</v>
      </c>
      <c r="L85" s="7">
        <f t="shared" si="3"/>
        <v>-39694.229754989719</v>
      </c>
      <c r="M85" s="7">
        <f t="shared" si="3"/>
        <v>-48892.975590737195</v>
      </c>
      <c r="N85" s="7">
        <f t="shared" si="3"/>
        <v>-23262.145897489718</v>
      </c>
      <c r="O85" s="7">
        <f t="shared" si="3"/>
        <v>-44176.963591039719</v>
      </c>
      <c r="Q85" s="7">
        <f>IFERROR(+Q29-Q32+Q83, 0)</f>
        <v>556230.77486051666</v>
      </c>
    </row>
    <row r="86" spans="1:17" s="6" customFormat="1" x14ac:dyDescent="0.3">
      <c r="B86" s="16"/>
      <c r="C86" s="16"/>
      <c r="D86" s="4">
        <f t="shared" ref="D86:O86" si="4">IFERROR(D85/D10, 0)</f>
        <v>-0.50061692201635632</v>
      </c>
      <c r="E86" s="4">
        <f t="shared" si="4"/>
        <v>0.18065439636830485</v>
      </c>
      <c r="F86" s="4">
        <f t="shared" si="4"/>
        <v>0.53501803917311652</v>
      </c>
      <c r="G86" s="4">
        <f t="shared" si="4"/>
        <v>-0.86242742758708824</v>
      </c>
      <c r="H86" s="4">
        <f t="shared" si="4"/>
        <v>-4.801147579483211</v>
      </c>
      <c r="I86" s="4">
        <f t="shared" si="4"/>
        <v>-0.75675425533511576</v>
      </c>
      <c r="J86" s="4">
        <f t="shared" si="4"/>
        <v>0.23169158193236505</v>
      </c>
      <c r="K86" s="4">
        <f t="shared" si="4"/>
        <v>0.88351580821748821</v>
      </c>
      <c r="L86" s="4">
        <f t="shared" si="4"/>
        <v>-2.0645045901591366</v>
      </c>
      <c r="M86" s="4">
        <f t="shared" si="4"/>
        <v>-2.5918668146065094</v>
      </c>
      <c r="N86" s="4">
        <f t="shared" si="4"/>
        <v>-0.41713102547186898</v>
      </c>
      <c r="O86" s="4">
        <f t="shared" si="4"/>
        <v>-1.9906706737130371</v>
      </c>
      <c r="P86" s="18"/>
      <c r="Q86" s="4">
        <f>IFERROR(Q85/Q10, 0)</f>
        <v>0.16842708853954916</v>
      </c>
    </row>
    <row r="87" spans="1:17" x14ac:dyDescent="0.3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25"/>
      <c r="B88" s="6" t="s">
        <v>125</v>
      </c>
      <c r="C88" s="6"/>
      <c r="D88" s="3">
        <v>28696.79</v>
      </c>
      <c r="E88" s="3">
        <v>131463.37</v>
      </c>
      <c r="F88" s="3">
        <v>1508.39</v>
      </c>
      <c r="G88" s="3">
        <v>-6341.03</v>
      </c>
      <c r="H88" s="3">
        <v>5668.33</v>
      </c>
      <c r="I88" s="3">
        <v>7476.31</v>
      </c>
      <c r="J88" s="3">
        <v>187278</v>
      </c>
      <c r="K88" s="3">
        <v>10437</v>
      </c>
      <c r="L88" s="3">
        <v>171</v>
      </c>
      <c r="M88" s="3">
        <v>8084</v>
      </c>
      <c r="N88" s="3">
        <v>11362</v>
      </c>
      <c r="O88" s="3">
        <v>-47676</v>
      </c>
      <c r="Q88" s="2">
        <f>SUM(OSRRefD28_0x)+IFERROR(SUM(OSRRefE28_0x),0)</f>
        <v>338128.16000000003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" thickBot="1" x14ac:dyDescent="0.35">
      <c r="A90" s="6"/>
      <c r="B90" s="17" t="s">
        <v>124</v>
      </c>
      <c r="C90" s="17"/>
      <c r="D90" s="8">
        <f t="shared" ref="D90:O90" si="5">IFERROR(+D85-D88, 0)</f>
        <v>-59792.520000000004</v>
      </c>
      <c r="E90" s="8">
        <f t="shared" si="5"/>
        <v>50938.070000000036</v>
      </c>
      <c r="F90" s="8">
        <f t="shared" si="5"/>
        <v>123876.63999999996</v>
      </c>
      <c r="G90" s="8">
        <f t="shared" si="5"/>
        <v>-26101.420000000046</v>
      </c>
      <c r="H90" s="8">
        <f t="shared" si="5"/>
        <v>-43489.130000000019</v>
      </c>
      <c r="I90" s="8">
        <f t="shared" si="5"/>
        <v>-43779.87000000001</v>
      </c>
      <c r="J90" s="8">
        <f t="shared" si="5"/>
        <v>181171.85508376284</v>
      </c>
      <c r="K90" s="8">
        <f t="shared" si="5"/>
        <v>163246.30461101027</v>
      </c>
      <c r="L90" s="8">
        <f t="shared" si="5"/>
        <v>-39865.229754989719</v>
      </c>
      <c r="M90" s="8">
        <f t="shared" si="5"/>
        <v>-56976.975590737195</v>
      </c>
      <c r="N90" s="8">
        <f t="shared" si="5"/>
        <v>-34624.145897489718</v>
      </c>
      <c r="O90" s="8">
        <f t="shared" si="5"/>
        <v>3499.0364089602808</v>
      </c>
      <c r="Q90" s="8">
        <f>IFERROR(+Q85-Q88, 0)</f>
        <v>218102.61486051662</v>
      </c>
    </row>
    <row r="91" spans="1:17" ht="15" thickTop="1" x14ac:dyDescent="0.3">
      <c r="A91" s="5"/>
      <c r="B91" s="5"/>
      <c r="C91" s="5"/>
      <c r="D91" s="4">
        <f t="shared" ref="D91:O91" si="6">IFERROR(D90/D10, 0)</f>
        <v>-0.96261278709332176</v>
      </c>
      <c r="E91" s="4">
        <f t="shared" si="6"/>
        <v>5.0450184428458805E-2</v>
      </c>
      <c r="F91" s="4">
        <f t="shared" si="6"/>
        <v>0.52858173764566674</v>
      </c>
      <c r="G91" s="4">
        <f t="shared" si="6"/>
        <v>-0.69386191569903588</v>
      </c>
      <c r="H91" s="4">
        <f t="shared" si="6"/>
        <v>-5.5207116516131514</v>
      </c>
      <c r="I91" s="4">
        <f t="shared" si="6"/>
        <v>-0.91259928559397951</v>
      </c>
      <c r="J91" s="4">
        <f t="shared" si="6"/>
        <v>0.11392593354782415</v>
      </c>
      <c r="K91" s="4">
        <f t="shared" si="6"/>
        <v>0.83042345998621581</v>
      </c>
      <c r="L91" s="4">
        <f t="shared" si="6"/>
        <v>-2.0733983333327988</v>
      </c>
      <c r="M91" s="4">
        <f t="shared" si="6"/>
        <v>-3.0204079511629134</v>
      </c>
      <c r="N91" s="4">
        <f t="shared" si="6"/>
        <v>-0.62087158888750904</v>
      </c>
      <c r="O91" s="4">
        <f t="shared" si="6"/>
        <v>0.15767107105985403</v>
      </c>
      <c r="P91" s="18"/>
      <c r="Q91" s="4">
        <f>IFERROR(Q90/Q10, 0)</f>
        <v>6.604163250951213E-2</v>
      </c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294</v>
      </c>
      <c r="C94" s="17"/>
      <c r="D94" s="8">
        <f t="shared" ref="D94:O94" si="7">IFERROR(SUM(D90:D93), 0)</f>
        <v>-59793.482612787098</v>
      </c>
      <c r="E94" s="8">
        <f t="shared" si="7"/>
        <v>50938.120450184462</v>
      </c>
      <c r="F94" s="8">
        <f t="shared" si="7"/>
        <v>123877.1685817376</v>
      </c>
      <c r="G94" s="8">
        <f t="shared" si="7"/>
        <v>-26102.113861915746</v>
      </c>
      <c r="H94" s="8">
        <f t="shared" si="7"/>
        <v>-43494.65071165163</v>
      </c>
      <c r="I94" s="8">
        <f t="shared" si="7"/>
        <v>-43780.782599285601</v>
      </c>
      <c r="J94" s="8">
        <f t="shared" si="7"/>
        <v>181171.96900969639</v>
      </c>
      <c r="K94" s="8">
        <f t="shared" si="7"/>
        <v>163247.13503447027</v>
      </c>
      <c r="L94" s="8">
        <f t="shared" si="7"/>
        <v>-39867.303153323053</v>
      </c>
      <c r="M94" s="8">
        <f t="shared" si="7"/>
        <v>-56979.995998688355</v>
      </c>
      <c r="N94" s="8">
        <f t="shared" si="7"/>
        <v>-34624.766769078604</v>
      </c>
      <c r="O94" s="8">
        <f t="shared" si="7"/>
        <v>3499.1940800313405</v>
      </c>
      <c r="Q94" s="8">
        <f>IFERROR(SUM(Q90:Q93), 0)</f>
        <v>218102.68090214912</v>
      </c>
    </row>
    <row r="95" spans="1:17" ht="15" thickTop="1" x14ac:dyDescent="0.3">
      <c r="A95" s="5"/>
      <c r="C95" s="5"/>
      <c r="D95" s="4">
        <f t="shared" ref="D95:O95" si="8">IFERROR(D94/D10, 0)</f>
        <v>-0.96262828440599357</v>
      </c>
      <c r="E95" s="4">
        <f t="shared" si="8"/>
        <v>5.0450234395430636E-2</v>
      </c>
      <c r="F95" s="4">
        <f t="shared" si="8"/>
        <v>0.52858399310443094</v>
      </c>
      <c r="G95" s="4">
        <f t="shared" si="8"/>
        <v>-0.69388036083949411</v>
      </c>
      <c r="H95" s="4">
        <f t="shared" si="8"/>
        <v>-5.5214124763282069</v>
      </c>
      <c r="I95" s="4">
        <f t="shared" si="8"/>
        <v>-0.91261830889066964</v>
      </c>
      <c r="J95" s="4">
        <f t="shared" si="8"/>
        <v>0.11392600518764</v>
      </c>
      <c r="K95" s="4">
        <f t="shared" si="8"/>
        <v>0.83042768429698688</v>
      </c>
      <c r="L95" s="4">
        <f t="shared" si="8"/>
        <v>-2.0735061711823506</v>
      </c>
      <c r="M95" s="4">
        <f t="shared" si="8"/>
        <v>-3.020568066088229</v>
      </c>
      <c r="N95" s="4">
        <f t="shared" si="8"/>
        <v>-0.62088272220271135</v>
      </c>
      <c r="O95" s="4">
        <f t="shared" si="8"/>
        <v>0.15767817592066241</v>
      </c>
      <c r="P95" s="18"/>
      <c r="Q95" s="4">
        <f>IFERROR(Q94/Q10, 0)</f>
        <v>6.6041652506967127E-2</v>
      </c>
    </row>
    <row r="96" spans="1:17" x14ac:dyDescent="0.3">
      <c r="A96" s="5"/>
      <c r="B96" s="28">
        <v>44575.850619247685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3">
      <c r="A97" s="5"/>
      <c r="B97" s="26" t="s">
        <v>54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A98" s="5"/>
      <c r="B98" s="3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3"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","311", " - ", "Textbooks")</f>
        <v>Department 311 - Textbooks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56201.599999999999</v>
      </c>
      <c r="E10" s="3">
        <f>SUM(OSRRefD11x_1)</f>
        <v>740429.29999999993</v>
      </c>
      <c r="F10" s="3">
        <f>SUM(OSRRefD11x_2)</f>
        <v>176741.79</v>
      </c>
      <c r="G10" s="3">
        <f>SUM(OSRRefD11x_3)</f>
        <v>34739.469999999994</v>
      </c>
      <c r="H10" s="3">
        <f>SUM(OSRRefD11x_4)</f>
        <v>7287.61</v>
      </c>
      <c r="I10" s="3">
        <f>SUM(OSRRefD11x_5)</f>
        <v>50312.259999999995</v>
      </c>
      <c r="J10" s="3">
        <f>SUM(OSRRefE11x_0)</f>
        <v>1048263</v>
      </c>
      <c r="K10" s="3">
        <f>SUM(OSRRefE11x_1)</f>
        <v>136360</v>
      </c>
      <c r="L10" s="3">
        <f>SUM(OSRRefE11x_2)</f>
        <v>17156</v>
      </c>
      <c r="M10" s="3">
        <f>SUM(OSRRefE11x_3)</f>
        <v>17656</v>
      </c>
      <c r="N10" s="3">
        <f>SUM(OSRRefE11x_4)</f>
        <v>49167</v>
      </c>
      <c r="O10" s="3">
        <f>SUM(OSRRefE11x_5)</f>
        <v>25993</v>
      </c>
      <c r="P10" s="24"/>
      <c r="Q10" s="3">
        <f>SUM(OSRRefG11x)</f>
        <v>2360307.0300000003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--30924.86</f>
        <v>30924.86</v>
      </c>
      <c r="E11" s="2">
        <f>--571304.22</f>
        <v>571304.22</v>
      </c>
      <c r="F11" s="2">
        <f>--143706.17</f>
        <v>143706.17000000001</v>
      </c>
      <c r="G11" s="2">
        <f>--24053.59</f>
        <v>24053.59</v>
      </c>
      <c r="H11" s="2">
        <f>--6041.48</f>
        <v>6041.48</v>
      </c>
      <c r="I11" s="2">
        <f>--18673.17</f>
        <v>18673.169999999998</v>
      </c>
      <c r="J11" s="2">
        <v>1048263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2089298.49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--27180.13</f>
        <v>27180.13</v>
      </c>
      <c r="E12" s="2">
        <f>--196803.19</f>
        <v>196803.19</v>
      </c>
      <c r="F12" s="2">
        <f>--46906.46</f>
        <v>46906.46</v>
      </c>
      <c r="G12" s="2">
        <f>--21004.56</f>
        <v>21004.560000000001</v>
      </c>
      <c r="H12" s="2">
        <f>--2477.57</f>
        <v>2477.5700000000002</v>
      </c>
      <c r="I12" s="2">
        <f>--33168.32</f>
        <v>33168.32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327540.23000000004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>
        <f>-652.65</f>
        <v>-652.65</v>
      </c>
      <c r="I13" s="2">
        <f>-407.24</f>
        <v>-407.24</v>
      </c>
      <c r="J13" s="2"/>
      <c r="K13" s="2"/>
      <c r="L13" s="2"/>
      <c r="M13" s="2"/>
      <c r="N13" s="2"/>
      <c r="O13" s="2"/>
      <c r="Q13" s="2">
        <f>SUM(OSRRefD11_2x)+IFERROR(SUM(OSRRefE11_2x),0)</f>
        <v>-29393.020000000004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>
        <f>-487.82</f>
        <v>-487.82</v>
      </c>
      <c r="I14" s="2">
        <f>-510.16</f>
        <v>-510.16</v>
      </c>
      <c r="J14" s="2"/>
      <c r="K14" s="2"/>
      <c r="L14" s="2"/>
      <c r="M14" s="2"/>
      <c r="N14" s="2"/>
      <c r="O14" s="2"/>
      <c r="Q14" s="2">
        <f>SUM(OSRRefD11_3x)+IFERROR(SUM(OSRRefE11_3x),0)</f>
        <v>-25903.139999999996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>
        <f>-90.97</f>
        <v>-90.97</v>
      </c>
      <c r="I15" s="2">
        <f>-611.83</f>
        <v>-611.83000000000004</v>
      </c>
      <c r="J15" s="2"/>
      <c r="K15" s="2"/>
      <c r="L15" s="2"/>
      <c r="M15" s="2"/>
      <c r="N15" s="2"/>
      <c r="O15" s="2"/>
      <c r="Q15" s="2">
        <f>SUM(OSRRefD11_4x)+IFERROR(SUM(OSRRefE11_4x),0)</f>
        <v>-1235.5300000000002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42691.720000000038</v>
      </c>
      <c r="E17" s="3">
        <f>SUM(OSRRefD14x_1)</f>
        <v>599500.85</v>
      </c>
      <c r="F17" s="3">
        <f>SUM(OSRRefD14x_2)</f>
        <v>179347.67000000007</v>
      </c>
      <c r="G17" s="3">
        <f>SUM(OSRRefD14x_3)</f>
        <v>21877.63</v>
      </c>
      <c r="H17" s="3">
        <f>SUM(OSRRefD14x_4)</f>
        <v>5116.3400000000074</v>
      </c>
      <c r="I17" s="3">
        <f>SUM(OSRRefD14x_5)</f>
        <v>41134.559999999998</v>
      </c>
      <c r="J17" s="3">
        <f>SUM(OSRRefE14x_0)</f>
        <v>757370</v>
      </c>
      <c r="K17" s="3">
        <f>SUM(OSRRefE14x_1)</f>
        <v>98520</v>
      </c>
      <c r="L17" s="3">
        <f>SUM(OSRRefE14x_2)</f>
        <v>12395</v>
      </c>
      <c r="M17" s="3">
        <f>SUM(OSRRefE14x_3)</f>
        <v>12757</v>
      </c>
      <c r="N17" s="3">
        <f>SUM(OSRRefE14x_4)</f>
        <v>35523</v>
      </c>
      <c r="O17" s="3">
        <f>SUM(OSRRefE14x_5)</f>
        <v>18780</v>
      </c>
      <c r="Q17" s="3">
        <f>SUM(OSRRefG14x)</f>
        <v>1825013.7700000003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262208.01</v>
      </c>
      <c r="E18" s="2">
        <v>219833.04</v>
      </c>
      <c r="F18" s="2">
        <v>534505.79</v>
      </c>
      <c r="G18" s="2">
        <v>273844.96999999997</v>
      </c>
      <c r="H18" s="2">
        <v>-202507.38</v>
      </c>
      <c r="I18" s="2">
        <v>65353.7</v>
      </c>
      <c r="J18" s="2">
        <v>757370</v>
      </c>
      <c r="K18" s="2">
        <v>98520</v>
      </c>
      <c r="L18" s="2">
        <v>12395</v>
      </c>
      <c r="M18" s="2">
        <v>12757</v>
      </c>
      <c r="N18" s="2">
        <v>35523</v>
      </c>
      <c r="O18" s="2">
        <v>18780</v>
      </c>
      <c r="Q18" s="2">
        <f>SUM(OSRRefD14_0x)+IFERROR(SUM(OSRRefE14_0x),0)</f>
        <v>2088583.1300000001</v>
      </c>
    </row>
    <row r="19" spans="1:17" s="9" customFormat="1" hidden="1" outlineLevel="1" x14ac:dyDescent="0.3">
      <c r="A19" s="23"/>
      <c r="B19" s="10" t="str">
        <f>CONCATENATE("          ","5001", " - ","PURCHASES @ COST-NEW TEXT")</f>
        <v xml:space="preserve">          5001 - PURCHASES @ COST-NEW TEXT</v>
      </c>
      <c r="C19" s="22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","5002", " - ","PURCHASES @ COST-USED TEXT")</f>
        <v xml:space="preserve">          5002 - PURCHASES @ COST-USED TEXT</v>
      </c>
      <c r="C20" s="22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","5004", " - ","PURCHASES @ COST-DIGITAL TEXT")</f>
        <v xml:space="preserve">          5004 - PURCHASES @ COST-DIGITAL TEXT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","5200", " - ","PURCHASES OFFSET")</f>
        <v xml:space="preserve">          5200 - PURCHASES OFFSET</v>
      </c>
      <c r="C22" s="22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>
        <v>202125.45</v>
      </c>
      <c r="I22" s="2">
        <v>-66175.399999999994</v>
      </c>
      <c r="J22" s="2"/>
      <c r="K22" s="2"/>
      <c r="L22" s="2"/>
      <c r="M22" s="2"/>
      <c r="N22" s="2"/>
      <c r="O22" s="2"/>
      <c r="Q22" s="2">
        <f>SUM(OSRRefD14_4x)+IFERROR(SUM(OSRRefE14_4x),0)</f>
        <v>-1190579.8099999998</v>
      </c>
    </row>
    <row r="23" spans="1:17" s="9" customFormat="1" hidden="1" outlineLevel="1" x14ac:dyDescent="0.3">
      <c r="A23" s="23"/>
      <c r="B23" s="10" t="str">
        <f>CONCATENATE("          ","5300", " - ","COG$ OFFSET")</f>
        <v xml:space="preserve">          5300 - COG$ OFFSET</v>
      </c>
      <c r="C23" s="22"/>
      <c r="D23" s="2">
        <v>42691.72</v>
      </c>
      <c r="E23" s="2">
        <v>599500.85</v>
      </c>
      <c r="F23" s="2">
        <v>179347.67</v>
      </c>
      <c r="G23" s="2">
        <v>21877.63</v>
      </c>
      <c r="H23" s="2">
        <v>5116.34</v>
      </c>
      <c r="I23" s="2">
        <v>41134.559999999998</v>
      </c>
      <c r="J23" s="2"/>
      <c r="K23" s="2"/>
      <c r="L23" s="2"/>
      <c r="M23" s="2"/>
      <c r="N23" s="2"/>
      <c r="O23" s="2"/>
      <c r="Q23" s="2">
        <f>SUM(OSRRefD14_5x)+IFERROR(SUM(OSRRefE14_5x),0)</f>
        <v>889668.77</v>
      </c>
    </row>
    <row r="24" spans="1:17" s="9" customFormat="1" hidden="1" outlineLevel="1" x14ac:dyDescent="0.3">
      <c r="A24" s="23"/>
      <c r="B24" s="10" t="str">
        <f>CONCATENATE("          ","5500", " - ","FREIGHT-IN")</f>
        <v xml:space="preserve">          5500 - FREIGHT-IN</v>
      </c>
      <c r="C24" s="22"/>
      <c r="D24" s="2">
        <v>2183.71</v>
      </c>
      <c r="E24" s="2">
        <v>3438.02</v>
      </c>
      <c r="F24" s="2">
        <v>14203.07</v>
      </c>
      <c r="G24" s="2">
        <v>16313.25</v>
      </c>
      <c r="H24" s="2">
        <v>381.93</v>
      </c>
      <c r="I24" s="2">
        <v>821.7</v>
      </c>
      <c r="J24" s="2"/>
      <c r="K24" s="2"/>
      <c r="L24" s="2"/>
      <c r="M24" s="2"/>
      <c r="N24" s="2"/>
      <c r="O24" s="2"/>
      <c r="Q24" s="2">
        <f>SUM(OSRRefD14_6x)+IFERROR(SUM(OSRRefE14_6x),0)</f>
        <v>37341.68</v>
      </c>
    </row>
    <row r="25" spans="1:17" s="9" customFormat="1" hidden="1" outlineLevel="1" x14ac:dyDescent="0.3">
      <c r="A25" s="23"/>
      <c r="B25" s="10" t="str">
        <f>CONCATENATE("          ","5501", " - ","FREIGHT-IN-NEW TEXT")</f>
        <v xml:space="preserve">          5501 - FREIGHT-IN-NEW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","5502", " - ","FREIGHT-IN-USED TEXT")</f>
        <v xml:space="preserve">          5502 - FREIGHT-IN-USED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","5518", " - ","FREIGHT-IN-STUDY GUIDES")</f>
        <v xml:space="preserve">          5518 - FREIGHT-IN-STUDY GUIDES</v>
      </c>
      <c r="C27" s="22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13509.879999999961</v>
      </c>
      <c r="E29" s="7">
        <f t="shared" si="1"/>
        <v>140928.44999999995</v>
      </c>
      <c r="F29" s="7">
        <f t="shared" si="1"/>
        <v>-2605.8800000000629</v>
      </c>
      <c r="G29" s="7">
        <f t="shared" si="1"/>
        <v>12861.839999999993</v>
      </c>
      <c r="H29" s="7">
        <f t="shared" si="1"/>
        <v>2171.2699999999923</v>
      </c>
      <c r="I29" s="7">
        <f t="shared" si="1"/>
        <v>9177.6999999999971</v>
      </c>
      <c r="J29" s="7">
        <f t="shared" si="1"/>
        <v>290893</v>
      </c>
      <c r="K29" s="7">
        <f t="shared" si="1"/>
        <v>37840</v>
      </c>
      <c r="L29" s="7">
        <f t="shared" si="1"/>
        <v>4761</v>
      </c>
      <c r="M29" s="7">
        <f t="shared" si="1"/>
        <v>4899</v>
      </c>
      <c r="N29" s="7">
        <f t="shared" si="1"/>
        <v>13644</v>
      </c>
      <c r="O29" s="7">
        <f t="shared" si="1"/>
        <v>7213</v>
      </c>
      <c r="Q29" s="7">
        <f>IFERROR(+Q10-Q17, 0)</f>
        <v>535293.26</v>
      </c>
    </row>
    <row r="30" spans="1:17" s="6" customFormat="1" x14ac:dyDescent="0.3">
      <c r="B30" s="16"/>
      <c r="C30" s="16"/>
      <c r="D30" s="4">
        <f t="shared" ref="D30:O30" si="2">IFERROR(D29/D10, 0)</f>
        <v>0.24038248021408573</v>
      </c>
      <c r="E30" s="4">
        <f t="shared" si="2"/>
        <v>0.19033343223991805</v>
      </c>
      <c r="F30" s="4">
        <f t="shared" si="2"/>
        <v>-1.4743994614969457E-2</v>
      </c>
      <c r="G30" s="4">
        <f t="shared" si="2"/>
        <v>0.3702370819128788</v>
      </c>
      <c r="H30" s="4">
        <f t="shared" si="2"/>
        <v>0.29793992817947068</v>
      </c>
      <c r="I30" s="4">
        <f t="shared" si="2"/>
        <v>0.18241478319598439</v>
      </c>
      <c r="J30" s="4">
        <f t="shared" si="2"/>
        <v>0.27750001669428376</v>
      </c>
      <c r="K30" s="4">
        <f t="shared" si="2"/>
        <v>0.27750073335288938</v>
      </c>
      <c r="L30" s="4">
        <f t="shared" si="2"/>
        <v>0.27751224061552809</v>
      </c>
      <c r="M30" s="4">
        <f t="shared" si="2"/>
        <v>0.27746941549614862</v>
      </c>
      <c r="N30" s="4">
        <f t="shared" si="2"/>
        <v>0.27750320336811274</v>
      </c>
      <c r="O30" s="4">
        <f t="shared" si="2"/>
        <v>0.27749778786596391</v>
      </c>
      <c r="P30" s="18"/>
      <c r="Q30" s="4">
        <f>IFERROR(Q29/Q10, 0)</f>
        <v>0.22678967320620147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49140.74</v>
      </c>
      <c r="E32" s="12">
        <f>SUM(OSRRefD20x_1)</f>
        <v>53160.81</v>
      </c>
      <c r="F32" s="12">
        <f>SUM(OSRRefD20x_2)</f>
        <v>42592.3</v>
      </c>
      <c r="G32" s="12">
        <f>SUM(OSRRefD20x_3)</f>
        <v>47453.490000000005</v>
      </c>
      <c r="H32" s="12">
        <f>SUM(OSRRefD20x_4)</f>
        <v>40561.770000000011</v>
      </c>
      <c r="I32" s="12">
        <f>SUM(OSRRefD20x_5)</f>
        <v>46608.87000000001</v>
      </c>
      <c r="J32" s="12">
        <f>SUM(OSRRefE20x_0)</f>
        <v>80345.474916237203</v>
      </c>
      <c r="K32" s="12">
        <f>SUM(OSRRefE20x_1)</f>
        <v>47020.095388989714</v>
      </c>
      <c r="L32" s="12">
        <f>SUM(OSRRefE20x_2)</f>
        <v>45484.229754989719</v>
      </c>
      <c r="M32" s="12">
        <f>SUM(OSRRefE20x_3)</f>
        <v>54338.975590737195</v>
      </c>
      <c r="N32" s="12">
        <f>SUM(OSRRefE20x_4)</f>
        <v>45175.145897489718</v>
      </c>
      <c r="O32" s="12">
        <f>SUM(OSRRefE20x_5)</f>
        <v>58386.963591039719</v>
      </c>
      <c r="Q32" s="12">
        <f>SUM(OSRRefG20x)</f>
        <v>610268.86513948336</v>
      </c>
    </row>
    <row r="33" spans="1:17" s="35" customFormat="1" collapsed="1" x14ac:dyDescent="0.3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SUM(OSRRefD21_0x_4)</f>
        <v>12540.8</v>
      </c>
      <c r="I33" s="1">
        <f>SUM(OSRRefD21_0x_5)</f>
        <v>12486.67</v>
      </c>
      <c r="J33" s="1">
        <f>SUM(OSRRefE21_0x_0)</f>
        <v>17653.470484669899</v>
      </c>
      <c r="K33" s="1">
        <f>SUM(OSRRefE21_0x_1)</f>
        <v>13545.311843735913</v>
      </c>
      <c r="L33" s="1">
        <f>SUM(OSRRefE21_0x_2)</f>
        <v>13462.866209735916</v>
      </c>
      <c r="M33" s="1">
        <f>SUM(OSRRefE21_0x_3)</f>
        <v>15572.661159169898</v>
      </c>
      <c r="N33" s="1">
        <f>SUM(OSRRefE21_0x_4)</f>
        <v>13510.257352235916</v>
      </c>
      <c r="O33" s="1">
        <f>SUM(OSRRefE21_0x_5)</f>
        <v>13686.585045785916</v>
      </c>
      <c r="Q33" s="2">
        <f>SUM(OSRRefD20_0x)+IFERROR(SUM(OSRRefE20_0x),0)</f>
        <v>164396.21209533344</v>
      </c>
    </row>
    <row r="34" spans="1:17" s="35" customFormat="1" hidden="1" outlineLevel="1" x14ac:dyDescent="0.3">
      <c r="A34" s="34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1887.94</v>
      </c>
      <c r="I34" s="2">
        <v>1933.15</v>
      </c>
      <c r="J34" s="2">
        <v>3418.4145399747099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26782.952995918502</v>
      </c>
    </row>
    <row r="35" spans="1:17" s="35" customFormat="1" hidden="1" outlineLevel="1" x14ac:dyDescent="0.3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355.51</v>
      </c>
      <c r="I35" s="2">
        <v>354.74</v>
      </c>
      <c r="J35" s="2">
        <v>934.83843435000006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5903.5798946199993</v>
      </c>
    </row>
    <row r="36" spans="1:17" s="35" customFormat="1" hidden="1" outlineLevel="1" x14ac:dyDescent="0.3">
      <c r="A36" s="34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4593.8599999999997</v>
      </c>
      <c r="I36" s="2">
        <v>4593.8599999999997</v>
      </c>
      <c r="J36" s="2">
        <v>5620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60115.41</v>
      </c>
    </row>
    <row r="37" spans="1:17" s="35" customFormat="1" hidden="1" outlineLevel="1" x14ac:dyDescent="0.3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70.599999999999994</v>
      </c>
      <c r="I37" s="2">
        <v>70.459999999999994</v>
      </c>
      <c r="J37" s="2">
        <v>125.843635393269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957.16575504499974</v>
      </c>
    </row>
    <row r="38" spans="1:17" s="35" customFormat="1" hidden="1" outlineLevel="1" x14ac:dyDescent="0.3">
      <c r="A38" s="34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1671.39</v>
      </c>
      <c r="I38" s="2">
        <v>1671.39</v>
      </c>
      <c r="J38" s="2">
        <v>2080.8534770576898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21395.168080699979</v>
      </c>
    </row>
    <row r="39" spans="1:17" s="35" customFormat="1" hidden="1" outlineLevel="1" x14ac:dyDescent="0.3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3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>
        <v>274.61</v>
      </c>
      <c r="I40" s="2">
        <v>285.08999999999997</v>
      </c>
      <c r="J40" s="2"/>
      <c r="K40" s="2"/>
      <c r="L40" s="2"/>
      <c r="M40" s="2"/>
      <c r="N40" s="2"/>
      <c r="O40" s="2"/>
      <c r="P40" s="9"/>
      <c r="Q40" s="2">
        <f>SUM(OSRRefD21_0_6x)+IFERROR(SUM(OSRRefE21_0_6x),0)</f>
        <v>1807.95</v>
      </c>
    </row>
    <row r="41" spans="1:17" s="35" customFormat="1" hidden="1" outlineLevel="1" x14ac:dyDescent="0.3">
      <c r="A41" s="34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1600</v>
      </c>
      <c r="I41" s="2">
        <v>1532.44</v>
      </c>
      <c r="J41" s="2">
        <v>2111.4919273750002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20213.438022350001</v>
      </c>
    </row>
    <row r="42" spans="1:17" s="35" customFormat="1" hidden="1" outlineLevel="1" x14ac:dyDescent="0.3">
      <c r="A42" s="34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1114.74</v>
      </c>
      <c r="I42" s="2">
        <v>1114.74</v>
      </c>
      <c r="J42" s="2">
        <v>2312.0284705192298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16178.83734669998</v>
      </c>
    </row>
    <row r="43" spans="1:17" s="35" customFormat="1" hidden="1" outlineLevel="1" x14ac:dyDescent="0.3">
      <c r="A43" s="34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972.15</v>
      </c>
      <c r="I43" s="2">
        <v>930.8</v>
      </c>
      <c r="J43" s="2">
        <v>1050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11041.71</v>
      </c>
    </row>
    <row r="44" spans="1:17" s="35" customFormat="1" collapsed="1" x14ac:dyDescent="0.3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SUM(OSRRefD21_1x_4)</f>
        <v>23870.59</v>
      </c>
      <c r="I44" s="1">
        <f>SUM(OSRRefD21_1x_5)</f>
        <v>25995.670000000002</v>
      </c>
      <c r="J44" s="1">
        <f>SUM(OSRRefE21_1x_0)</f>
        <v>56812.0044315673</v>
      </c>
      <c r="K44" s="1">
        <f>SUM(OSRRefE21_1x_1)</f>
        <v>27869.783545253802</v>
      </c>
      <c r="L44" s="1">
        <f>SUM(OSRRefE21_1x_2)</f>
        <v>26141.3635452538</v>
      </c>
      <c r="M44" s="1">
        <f>SUM(OSRRefE21_1x_3)</f>
        <v>33286.314431567298</v>
      </c>
      <c r="N44" s="1">
        <f>SUM(OSRRefE21_1x_4)</f>
        <v>27134.888545253802</v>
      </c>
      <c r="O44" s="1">
        <f>SUM(OSRRefE21_1x_5)</f>
        <v>27620.378545253803</v>
      </c>
      <c r="Q44" s="2">
        <f>SUM(OSRRefD20_1x)+IFERROR(SUM(OSRRefE20_1x),0)</f>
        <v>374046.64304414985</v>
      </c>
    </row>
    <row r="45" spans="1:17" s="35" customFormat="1" hidden="1" outlineLevel="1" x14ac:dyDescent="0.3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3">
      <c r="A46" s="34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15611.26</v>
      </c>
      <c r="I46" s="2">
        <v>16929.34</v>
      </c>
      <c r="J46" s="2">
        <v>21617.1259715673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214617.55505214981</v>
      </c>
    </row>
    <row r="47" spans="1:17" s="35" customFormat="1" hidden="1" outlineLevel="1" x14ac:dyDescent="0.3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3">
      <c r="A48" s="34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4911.74</v>
      </c>
      <c r="I48" s="2">
        <v>5854.93</v>
      </c>
      <c r="J48" s="2">
        <v>7410.7284600000003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74098.917992000002</v>
      </c>
    </row>
    <row r="49" spans="1:17" s="35" customFormat="1" hidden="1" outlineLevel="1" x14ac:dyDescent="0.3">
      <c r="A49" s="34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2066.79</v>
      </c>
      <c r="I49" s="2">
        <v>2090.66</v>
      </c>
      <c r="J49" s="2">
        <v>3009.34</v>
      </c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28357.47</v>
      </c>
    </row>
    <row r="50" spans="1:17" s="35" customFormat="1" hidden="1" outlineLevel="1" x14ac:dyDescent="0.3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3">
      <c r="A51" s="34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1280.8</v>
      </c>
      <c r="I51" s="2">
        <v>1120.74</v>
      </c>
      <c r="J51" s="2">
        <v>12526.25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33273.175000000003</v>
      </c>
    </row>
    <row r="52" spans="1:17" s="35" customFormat="1" hidden="1" outlineLevel="1" x14ac:dyDescent="0.3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/>
      <c r="I52" s="2"/>
      <c r="J52" s="2">
        <v>12248.56</v>
      </c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23699.524999999998</v>
      </c>
    </row>
    <row r="53" spans="1:17" s="35" customFormat="1" hidden="1" outlineLevel="1" x14ac:dyDescent="0.3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3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3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SUM(OSRRefD21_2x_4)</f>
        <v>0.66</v>
      </c>
      <c r="I55" s="1">
        <f>SUM(OSRRefD21_2x_5)</f>
        <v>563.54</v>
      </c>
      <c r="J55" s="1">
        <f>SUM(OSRRefE21_2x_0)</f>
        <v>400</v>
      </c>
      <c r="K55" s="1">
        <f>SUM(OSRRefE21_2x_1)</f>
        <v>100</v>
      </c>
      <c r="L55" s="1">
        <f>SUM(OSRRefE21_2x_2)</f>
        <v>100</v>
      </c>
      <c r="M55" s="1">
        <f>SUM(OSRRefE21_2x_3)</f>
        <v>100</v>
      </c>
      <c r="N55" s="1">
        <f>SUM(OSRRefE21_2x_4)</f>
        <v>200</v>
      </c>
      <c r="O55" s="1">
        <f>SUM(OSRRefE21_2x_5)</f>
        <v>100</v>
      </c>
      <c r="Q55" s="2">
        <f>SUM(OSRRefD20_2x)+IFERROR(SUM(OSRRefE20_2x),0)</f>
        <v>1797.25</v>
      </c>
    </row>
    <row r="56" spans="1:17" s="35" customFormat="1" hidden="1" outlineLevel="1" x14ac:dyDescent="0.3">
      <c r="A56" s="34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0.66</v>
      </c>
      <c r="I56" s="2">
        <v>563.54</v>
      </c>
      <c r="J56" s="2">
        <v>400</v>
      </c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1797.25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SUM(OSRRefD21_3x_4)</f>
        <v>0</v>
      </c>
      <c r="I57" s="1">
        <f>SUM(OSRRefD21_3x_5)</f>
        <v>0</v>
      </c>
      <c r="J57" s="1">
        <f>SUM(OSRRefE21_3x_0)</f>
        <v>50</v>
      </c>
      <c r="K57" s="1">
        <f>SUM(OSRRefE21_3x_1)</f>
        <v>50</v>
      </c>
      <c r="L57" s="1">
        <f>SUM(OSRRefE21_3x_2)</f>
        <v>50</v>
      </c>
      <c r="M57" s="1">
        <f>SUM(OSRRefE21_3x_3)</f>
        <v>50</v>
      </c>
      <c r="N57" s="1">
        <f>SUM(OSRRefE21_3x_4)</f>
        <v>50</v>
      </c>
      <c r="O57" s="1">
        <f>SUM(OSRRefE21_3x_5)</f>
        <v>50</v>
      </c>
      <c r="Q57" s="2">
        <f>SUM(OSRRefD20_3x)+IFERROR(SUM(OSRRefE20_3x),0)</f>
        <v>300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/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SUM(OSRRefD21_3_0x)+IFERROR(SUM(OSRRefE21_3_0x),0)</f>
        <v>300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SUM(OSRRefD21_4x_0)</f>
        <v>91.26</v>
      </c>
      <c r="E59" s="1">
        <f>SUM(OSRRefD21_4x_1)</f>
        <v>91.26</v>
      </c>
      <c r="F59" s="1">
        <f>SUM(OSRRefD21_4x_2)</f>
        <v>91.26</v>
      </c>
      <c r="G59" s="1">
        <f>SUM(OSRRefD21_4x_3)</f>
        <v>91.26</v>
      </c>
      <c r="H59" s="1">
        <f>SUM(OSRRefD21_4x_4)</f>
        <v>91.26</v>
      </c>
      <c r="I59" s="1">
        <f>SUM(OSRRefD21_4x_5)</f>
        <v>91.26</v>
      </c>
      <c r="J59" s="1">
        <f>SUM(OSRRefE21_4x_0)</f>
        <v>100</v>
      </c>
      <c r="K59" s="1">
        <f>SUM(OSRRefE21_4x_1)</f>
        <v>100</v>
      </c>
      <c r="L59" s="1">
        <f>SUM(OSRRefE21_4x_2)</f>
        <v>100</v>
      </c>
      <c r="M59" s="1">
        <f>SUM(OSRRefE21_4x_3)</f>
        <v>100</v>
      </c>
      <c r="N59" s="1">
        <f>SUM(OSRRefE21_4x_4)</f>
        <v>100</v>
      </c>
      <c r="O59" s="1">
        <f>SUM(OSRRefE21_4x_5)</f>
        <v>100</v>
      </c>
      <c r="Q59" s="2">
        <f>SUM(OSRRefD20_4x)+IFERROR(SUM(OSRRefE20_4x),0)</f>
        <v>1147.56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91.26</v>
      </c>
      <c r="E60" s="2">
        <v>91.26</v>
      </c>
      <c r="F60" s="2">
        <v>91.26</v>
      </c>
      <c r="G60" s="2">
        <v>91.26</v>
      </c>
      <c r="H60" s="2">
        <v>91.26</v>
      </c>
      <c r="I60" s="2">
        <v>91.26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SUM(OSRRefD21_4_0x)+IFERROR(SUM(OSRRefE21_4_0x),0)</f>
        <v>1147.56</v>
      </c>
    </row>
    <row r="61" spans="1:17" s="35" customFormat="1" collapsed="1" x14ac:dyDescent="0.3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132.66999999999999</v>
      </c>
      <c r="E61" s="1">
        <f>SUM(OSRRefD21_5x_1)</f>
        <v>163.30000000000001</v>
      </c>
      <c r="F61" s="1">
        <f>SUM(OSRRefD21_5x_2)</f>
        <v>84.57</v>
      </c>
      <c r="G61" s="1">
        <f>SUM(OSRRefD21_5x_3)</f>
        <v>13.21</v>
      </c>
      <c r="H61" s="1">
        <f>SUM(OSRRefD21_5x_4)</f>
        <v>2119.1</v>
      </c>
      <c r="I61" s="1">
        <f>SUM(OSRRefD21_5x_5)</f>
        <v>1977.93</v>
      </c>
      <c r="J61" s="1">
        <f>SUM(OSRRefE21_5x_0)</f>
        <v>800</v>
      </c>
      <c r="K61" s="1">
        <f>SUM(OSRRefE21_5x_1)</f>
        <v>1800</v>
      </c>
      <c r="L61" s="1">
        <f>SUM(OSRRefE21_5x_2)</f>
        <v>3200</v>
      </c>
      <c r="M61" s="1">
        <f>SUM(OSRRefE21_5x_3)</f>
        <v>2300</v>
      </c>
      <c r="N61" s="1">
        <f>SUM(OSRRefE21_5x_4)</f>
        <v>1000</v>
      </c>
      <c r="O61" s="1">
        <f>SUM(OSRRefE21_5x_5)</f>
        <v>500</v>
      </c>
      <c r="Q61" s="2">
        <f>SUM(OSRRefD20_5x)+IFERROR(SUM(OSRRefE20_5x),0)</f>
        <v>14090.779999999999</v>
      </c>
    </row>
    <row r="62" spans="1:17" s="35" customFormat="1" hidden="1" outlineLevel="1" x14ac:dyDescent="0.3">
      <c r="A62" s="34"/>
      <c r="B62" s="10" t="str">
        <f>CONCATENATE("          ","6305", " - ","FREIGHT OUT")</f>
        <v xml:space="preserve">          6305 - FREIGHT OUT</v>
      </c>
      <c r="C62" s="14"/>
      <c r="D62" s="2">
        <v>132.66999999999999</v>
      </c>
      <c r="E62" s="2">
        <v>163.30000000000001</v>
      </c>
      <c r="F62" s="2">
        <v>84.57</v>
      </c>
      <c r="G62" s="2">
        <v>13.21</v>
      </c>
      <c r="H62" s="2">
        <v>2119.1</v>
      </c>
      <c r="I62" s="2">
        <v>1977.93</v>
      </c>
      <c r="J62" s="2">
        <v>800</v>
      </c>
      <c r="K62" s="2">
        <v>1800</v>
      </c>
      <c r="L62" s="2">
        <v>3200</v>
      </c>
      <c r="M62" s="2">
        <v>2300</v>
      </c>
      <c r="N62" s="2">
        <v>1000</v>
      </c>
      <c r="O62" s="2">
        <v>500</v>
      </c>
      <c r="P62" s="9"/>
      <c r="Q62" s="2">
        <f>SUM(OSRRefD21_5_0x)+IFERROR(SUM(OSRRefE21_5_0x),0)</f>
        <v>14090.779999999999</v>
      </c>
    </row>
    <row r="63" spans="1:17" s="35" customFormat="1" collapsed="1" x14ac:dyDescent="0.3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SUM(OSRRefD21_6x_5)</f>
        <v>0</v>
      </c>
      <c r="J63" s="1">
        <f>SUM(OSRRefE21_6x_0)</f>
        <v>0</v>
      </c>
      <c r="K63" s="1">
        <f>SUM(OSRRefE21_6x_1)</f>
        <v>125</v>
      </c>
      <c r="L63" s="1">
        <f>SUM(OSRRefE21_6x_2)</f>
        <v>0</v>
      </c>
      <c r="M63" s="1">
        <f>SUM(OSRRefE21_6x_3)</f>
        <v>500</v>
      </c>
      <c r="N63" s="1">
        <f>SUM(OSRRefE21_6x_4)</f>
        <v>750</v>
      </c>
      <c r="O63" s="1">
        <f>SUM(OSRRefE21_6x_5)</f>
        <v>0</v>
      </c>
      <c r="Q63" s="2">
        <f>SUM(OSRRefD20_6x)+IFERROR(SUM(OSRRefE20_6x),0)</f>
        <v>1375</v>
      </c>
    </row>
    <row r="64" spans="1:17" s="35" customFormat="1" hidden="1" outlineLevel="1" x14ac:dyDescent="0.3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/>
      <c r="J64" s="2">
        <v>0</v>
      </c>
      <c r="K64" s="2">
        <v>125</v>
      </c>
      <c r="L64" s="2">
        <v>0</v>
      </c>
      <c r="M64" s="2">
        <v>500</v>
      </c>
      <c r="N64" s="2">
        <v>750</v>
      </c>
      <c r="O64" s="2">
        <v>0</v>
      </c>
      <c r="P64" s="9"/>
      <c r="Q64" s="2">
        <f>SUM(OSRRefD21_6_0x)+IFERROR(SUM(OSRRefE21_6_0x),0)</f>
        <v>1375</v>
      </c>
    </row>
    <row r="65" spans="1:17" s="35" customFormat="1" collapsed="1" x14ac:dyDescent="0.3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1000</v>
      </c>
      <c r="E65" s="1">
        <f>SUM(OSRRefD21_7x_1)</f>
        <v>1000</v>
      </c>
      <c r="F65" s="1">
        <f>SUM(OSRRefD21_7x_2)</f>
        <v>1000</v>
      </c>
      <c r="G65" s="1">
        <f>SUM(OSRRefD21_7x_3)</f>
        <v>1000</v>
      </c>
      <c r="H65" s="1">
        <f>SUM(OSRRefD21_7x_4)</f>
        <v>1000</v>
      </c>
      <c r="I65" s="1">
        <f>SUM(OSRRefD21_7x_5)</f>
        <v>5000</v>
      </c>
      <c r="J65" s="1">
        <f>SUM(OSRRefE21_7x_0)</f>
        <v>1000</v>
      </c>
      <c r="K65" s="1">
        <f>SUM(OSRRefE21_7x_1)</f>
        <v>1000</v>
      </c>
      <c r="L65" s="1">
        <f>SUM(OSRRefE21_7x_2)</f>
        <v>1000</v>
      </c>
      <c r="M65" s="1">
        <f>SUM(OSRRefE21_7x_3)</f>
        <v>1000</v>
      </c>
      <c r="N65" s="1">
        <f>SUM(OSRRefE21_7x_4)</f>
        <v>1000</v>
      </c>
      <c r="O65" s="1">
        <f>SUM(OSRRefE21_7x_5)</f>
        <v>15000</v>
      </c>
      <c r="Q65" s="2">
        <f>SUM(OSRRefD20_7x)+IFERROR(SUM(OSRRefE20_7x),0)</f>
        <v>30000</v>
      </c>
    </row>
    <row r="66" spans="1:17" s="35" customFormat="1" hidden="1" outlineLevel="1" x14ac:dyDescent="0.3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1000</v>
      </c>
      <c r="E66" s="2">
        <v>1000</v>
      </c>
      <c r="F66" s="2">
        <v>1000</v>
      </c>
      <c r="G66" s="2">
        <v>1000</v>
      </c>
      <c r="H66" s="2">
        <v>1000</v>
      </c>
      <c r="I66" s="2">
        <v>5000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15000</v>
      </c>
      <c r="P66" s="9"/>
      <c r="Q66" s="2">
        <f>SUM(OSRRefD21_7_0x)+IFERROR(SUM(OSRRefE21_7_0x),0)</f>
        <v>30000</v>
      </c>
    </row>
    <row r="67" spans="1:17" s="35" customFormat="1" collapsed="1" x14ac:dyDescent="0.3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SUM(OSRRefD21_8x_0)</f>
        <v>2900.53</v>
      </c>
      <c r="E67" s="1">
        <f>SUM(OSRRefD21_8x_1)</f>
        <v>0</v>
      </c>
      <c r="F67" s="1">
        <f>SUM(OSRRefD21_8x_2)</f>
        <v>0</v>
      </c>
      <c r="G67" s="1">
        <f>SUM(OSRRefD21_8x_3)</f>
        <v>2932.91</v>
      </c>
      <c r="H67" s="1">
        <f>SUM(OSRRefD21_8x_4)</f>
        <v>21</v>
      </c>
      <c r="I67" s="1">
        <f>SUM(OSRRefD21_8x_5)</f>
        <v>14.62</v>
      </c>
      <c r="J67" s="1">
        <f>SUM(OSRRefE21_8x_0)</f>
        <v>80</v>
      </c>
      <c r="K67" s="1">
        <f>SUM(OSRRefE21_8x_1)</f>
        <v>80</v>
      </c>
      <c r="L67" s="1">
        <f>SUM(OSRRefE21_8x_2)</f>
        <v>80</v>
      </c>
      <c r="M67" s="1">
        <f>SUM(OSRRefE21_8x_3)</f>
        <v>80</v>
      </c>
      <c r="N67" s="1">
        <f>SUM(OSRRefE21_8x_4)</f>
        <v>80</v>
      </c>
      <c r="O67" s="1">
        <f>SUM(OSRRefE21_8x_5)</f>
        <v>80</v>
      </c>
      <c r="Q67" s="2">
        <f>SUM(OSRRefD20_8x)+IFERROR(SUM(OSRRefE20_8x),0)</f>
        <v>6349.06</v>
      </c>
    </row>
    <row r="68" spans="1:17" s="35" customFormat="1" hidden="1" outlineLevel="1" x14ac:dyDescent="0.3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2887.5</v>
      </c>
      <c r="E68" s="2">
        <v>0</v>
      </c>
      <c r="F68" s="2"/>
      <c r="G68" s="2">
        <v>2887.5</v>
      </c>
      <c r="H68" s="2"/>
      <c r="I68" s="2"/>
      <c r="J68" s="2"/>
      <c r="K68" s="2"/>
      <c r="L68" s="2"/>
      <c r="M68" s="2"/>
      <c r="N68" s="2">
        <v>0</v>
      </c>
      <c r="O68" s="2"/>
      <c r="P68" s="9"/>
      <c r="Q68" s="2">
        <f>SUM(OSRRefD21_8_0x)+IFERROR(SUM(OSRRefE21_8_0x),0)</f>
        <v>5775</v>
      </c>
    </row>
    <row r="69" spans="1:17" s="35" customFormat="1" hidden="1" outlineLevel="1" x14ac:dyDescent="0.3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13.03</v>
      </c>
      <c r="E69" s="2"/>
      <c r="F69" s="2"/>
      <c r="G69" s="2">
        <v>45.41</v>
      </c>
      <c r="H69" s="2">
        <v>21</v>
      </c>
      <c r="I69" s="2">
        <v>14.62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SUM(OSRRefD21_8_1x)+IFERROR(SUM(OSRRefE21_8_1x),0)</f>
        <v>334.06</v>
      </c>
    </row>
    <row r="70" spans="1:17" s="35" customFormat="1" hidden="1" outlineLevel="1" x14ac:dyDescent="0.3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/>
      <c r="E70" s="2"/>
      <c r="F70" s="2"/>
      <c r="G70" s="2"/>
      <c r="H70" s="2"/>
      <c r="I70" s="2"/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SUM(OSRRefD21_8_2x)+IFERROR(SUM(OSRRefE21_8_2x),0)</f>
        <v>240</v>
      </c>
    </row>
    <row r="71" spans="1:17" s="35" customFormat="1" collapsed="1" x14ac:dyDescent="0.3">
      <c r="A71" s="34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SUM(OSRRefD21_9x_0)</f>
        <v>68.319999999999993</v>
      </c>
      <c r="E71" s="1">
        <f>SUM(OSRRefD21_9x_1)</f>
        <v>57</v>
      </c>
      <c r="F71" s="1">
        <f>SUM(OSRRefD21_9x_2)</f>
        <v>47.44</v>
      </c>
      <c r="G71" s="1">
        <f>SUM(OSRRefD21_9x_3)</f>
        <v>904.08</v>
      </c>
      <c r="H71" s="1">
        <f>SUM(OSRRefD21_9x_4)</f>
        <v>148.66</v>
      </c>
      <c r="I71" s="1">
        <f>SUM(OSRRefD21_9x_5)</f>
        <v>286.24</v>
      </c>
      <c r="J71" s="1">
        <f>SUM(OSRRefE21_9x_0)</f>
        <v>2200</v>
      </c>
      <c r="K71" s="1">
        <f>SUM(OSRRefE21_9x_1)</f>
        <v>300</v>
      </c>
      <c r="L71" s="1">
        <f>SUM(OSRRefE21_9x_2)</f>
        <v>300</v>
      </c>
      <c r="M71" s="1">
        <f>SUM(OSRRefE21_9x_3)</f>
        <v>300</v>
      </c>
      <c r="N71" s="1">
        <f>SUM(OSRRefE21_9x_4)</f>
        <v>300</v>
      </c>
      <c r="O71" s="1">
        <f>SUM(OSRRefE21_9x_5)</f>
        <v>300</v>
      </c>
      <c r="Q71" s="2">
        <f>SUM(OSRRefD20_9x)+IFERROR(SUM(OSRRefE20_9x),0)</f>
        <v>5211.74</v>
      </c>
    </row>
    <row r="72" spans="1:17" s="35" customFormat="1" hidden="1" outlineLevel="1" x14ac:dyDescent="0.3">
      <c r="A72" s="34"/>
      <c r="B72" s="10" t="str">
        <f>CONCATENATE("          ","6258", " - ","MEMBERSHIP DUES")</f>
        <v xml:space="preserve">          6258 - MEMBERSHIP DUES</v>
      </c>
      <c r="C72" s="14"/>
      <c r="D72" s="2">
        <v>68.319999999999993</v>
      </c>
      <c r="E72" s="2">
        <v>57</v>
      </c>
      <c r="F72" s="2">
        <v>47.44</v>
      </c>
      <c r="G72" s="2">
        <v>904.08</v>
      </c>
      <c r="H72" s="2">
        <v>148.66</v>
      </c>
      <c r="I72" s="2">
        <v>286.24</v>
      </c>
      <c r="J72" s="2">
        <v>300</v>
      </c>
      <c r="K72" s="2">
        <v>300</v>
      </c>
      <c r="L72" s="2">
        <v>300</v>
      </c>
      <c r="M72" s="2">
        <v>300</v>
      </c>
      <c r="N72" s="2">
        <v>300</v>
      </c>
      <c r="O72" s="2">
        <v>300</v>
      </c>
      <c r="P72" s="9"/>
      <c r="Q72" s="2">
        <f>SUM(OSRRefD21_9_0x)+IFERROR(SUM(OSRRefE21_9_0x),0)</f>
        <v>3311.7400000000002</v>
      </c>
    </row>
    <row r="73" spans="1:17" s="35" customFormat="1" hidden="1" outlineLevel="1" x14ac:dyDescent="0.3">
      <c r="A73" s="34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1900</v>
      </c>
      <c r="K73" s="2"/>
      <c r="L73" s="2"/>
      <c r="M73" s="2"/>
      <c r="N73" s="2"/>
      <c r="O73" s="2"/>
      <c r="P73" s="9"/>
      <c r="Q73" s="2">
        <f>SUM(OSRRefD21_9_1x)+IFERROR(SUM(OSRRefE21_9_1x),0)</f>
        <v>1900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SUM(OSRRefD21_10x_0)</f>
        <v>115.74</v>
      </c>
      <c r="E74" s="1">
        <f>SUM(OSRRefD21_10x_1)</f>
        <v>485.61</v>
      </c>
      <c r="F74" s="1">
        <f>SUM(OSRRefD21_10x_2)</f>
        <v>8.5399999999999991</v>
      </c>
      <c r="G74" s="1">
        <f>SUM(OSRRefD21_10x_3)</f>
        <v>127.04</v>
      </c>
      <c r="H74" s="1">
        <f>SUM(OSRRefD21_10x_4)</f>
        <v>207.4</v>
      </c>
      <c r="I74" s="1">
        <f>SUM(OSRRefD21_10x_5)</f>
        <v>131.44</v>
      </c>
      <c r="J74" s="1">
        <f>SUM(OSRRefE21_10x_0)</f>
        <v>800</v>
      </c>
      <c r="K74" s="1">
        <f>SUM(OSRRefE21_10x_1)</f>
        <v>1700</v>
      </c>
      <c r="L74" s="1">
        <f>SUM(OSRRefE21_10x_2)</f>
        <v>700</v>
      </c>
      <c r="M74" s="1">
        <f>SUM(OSRRefE21_10x_3)</f>
        <v>700</v>
      </c>
      <c r="N74" s="1">
        <f>SUM(OSRRefE21_10x_4)</f>
        <v>700</v>
      </c>
      <c r="O74" s="1">
        <f>SUM(OSRRefE21_10x_5)</f>
        <v>600</v>
      </c>
      <c r="Q74" s="2">
        <f>SUM(OSRRefD20_10x)+IFERROR(SUM(OSRRefE20_10x),0)</f>
        <v>6275.77</v>
      </c>
    </row>
    <row r="75" spans="1:17" s="35" customFormat="1" hidden="1" outlineLevel="1" x14ac:dyDescent="0.3">
      <c r="A75" s="34"/>
      <c r="B75" s="10" t="str">
        <f>CONCATENATE("          ","6241", " - ","OFFICE EXPENSE")</f>
        <v xml:space="preserve">          6241 - OFFICE EXPENSE</v>
      </c>
      <c r="C75" s="14"/>
      <c r="D75" s="2">
        <v>115.74</v>
      </c>
      <c r="E75" s="2">
        <v>485.61</v>
      </c>
      <c r="F75" s="2">
        <v>8.5399999999999991</v>
      </c>
      <c r="G75" s="2">
        <v>127.04</v>
      </c>
      <c r="H75" s="2">
        <v>207.4</v>
      </c>
      <c r="I75" s="2">
        <v>131.44</v>
      </c>
      <c r="J75" s="2">
        <v>500</v>
      </c>
      <c r="K75" s="2">
        <v>500</v>
      </c>
      <c r="L75" s="2">
        <v>300</v>
      </c>
      <c r="M75" s="2">
        <v>300</v>
      </c>
      <c r="N75" s="2">
        <v>300</v>
      </c>
      <c r="O75" s="2">
        <v>200</v>
      </c>
      <c r="P75" s="9"/>
      <c r="Q75" s="2">
        <f>SUM(OSRRefD21_10_0x)+IFERROR(SUM(OSRRefE21_10_0x),0)</f>
        <v>3175.77</v>
      </c>
    </row>
    <row r="76" spans="1:17" s="35" customFormat="1" hidden="1" outlineLevel="1" x14ac:dyDescent="0.3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/>
      <c r="F76" s="2"/>
      <c r="G76" s="2"/>
      <c r="H76" s="2"/>
      <c r="I76" s="2"/>
      <c r="J76" s="2">
        <v>300</v>
      </c>
      <c r="K76" s="2">
        <v>1200</v>
      </c>
      <c r="L76" s="2">
        <v>400</v>
      </c>
      <c r="M76" s="2">
        <v>400</v>
      </c>
      <c r="N76" s="2">
        <v>400</v>
      </c>
      <c r="O76" s="2">
        <v>400</v>
      </c>
      <c r="P76" s="9"/>
      <c r="Q76" s="2">
        <f>SUM(OSRRefD21_10_1x)+IFERROR(SUM(OSRRefE21_10_1x),0)</f>
        <v>3100</v>
      </c>
    </row>
    <row r="77" spans="1:17" s="35" customFormat="1" collapsed="1" x14ac:dyDescent="0.3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SUM(OSRRefD21_11x_0)</f>
        <v>607.4</v>
      </c>
      <c r="E77" s="1">
        <f>SUM(OSRRefD21_11x_1)</f>
        <v>820.9</v>
      </c>
      <c r="F77" s="1">
        <f>SUM(OSRRefD21_11x_2)</f>
        <v>414.85</v>
      </c>
      <c r="G77" s="1">
        <f>SUM(OSRRefD21_11x_3)</f>
        <v>611.9</v>
      </c>
      <c r="H77" s="1">
        <f>SUM(OSRRefD21_11x_4)</f>
        <v>562.29999999999995</v>
      </c>
      <c r="I77" s="1">
        <f>SUM(OSRRefD21_11x_5)</f>
        <v>61.5</v>
      </c>
      <c r="J77" s="1">
        <f>SUM(OSRRefE21_11x_0)</f>
        <v>450</v>
      </c>
      <c r="K77" s="1">
        <f>SUM(OSRRefE21_11x_1)</f>
        <v>350</v>
      </c>
      <c r="L77" s="1">
        <f>SUM(OSRRefE21_11x_2)</f>
        <v>350</v>
      </c>
      <c r="M77" s="1">
        <f>SUM(OSRRefE21_11x_3)</f>
        <v>350</v>
      </c>
      <c r="N77" s="1">
        <f>SUM(OSRRefE21_11x_4)</f>
        <v>350</v>
      </c>
      <c r="O77" s="1">
        <f>SUM(OSRRefE21_11x_5)</f>
        <v>350</v>
      </c>
      <c r="Q77" s="2">
        <f>SUM(OSRRefD20_11x)+IFERROR(SUM(OSRRefE20_11x),0)</f>
        <v>5278.85</v>
      </c>
    </row>
    <row r="78" spans="1:17" s="35" customFormat="1" hidden="1" outlineLevel="1" x14ac:dyDescent="0.3">
      <c r="A78" s="34"/>
      <c r="B78" s="10" t="str">
        <f>CONCATENATE("          ","6303", " - ","DATA PHONE LINES")</f>
        <v xml:space="preserve">          6303 - DATA PHONE LINES</v>
      </c>
      <c r="C78" s="14"/>
      <c r="D78" s="2">
        <v>295</v>
      </c>
      <c r="E78" s="2"/>
      <c r="F78" s="2"/>
      <c r="G78" s="2"/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SUM(OSRRefD21_11_0x)+IFERROR(SUM(OSRRefE21_11_0x),0)</f>
        <v>295</v>
      </c>
    </row>
    <row r="79" spans="1:17" s="35" customFormat="1" hidden="1" outlineLevel="1" x14ac:dyDescent="0.3">
      <c r="A79" s="34"/>
      <c r="B79" s="10" t="str">
        <f>CONCATENATE("          ","6309", " - ","TELEPHONE")</f>
        <v xml:space="preserve">          6309 - TELEPHONE</v>
      </c>
      <c r="C79" s="14"/>
      <c r="D79" s="2">
        <v>312.39999999999998</v>
      </c>
      <c r="E79" s="2">
        <v>820.9</v>
      </c>
      <c r="F79" s="2">
        <v>414.85</v>
      </c>
      <c r="G79" s="2">
        <v>611.9</v>
      </c>
      <c r="H79" s="2">
        <v>562.29999999999995</v>
      </c>
      <c r="I79" s="2">
        <v>61.5</v>
      </c>
      <c r="J79" s="2">
        <v>450</v>
      </c>
      <c r="K79" s="2">
        <v>350</v>
      </c>
      <c r="L79" s="2">
        <v>350</v>
      </c>
      <c r="M79" s="2">
        <v>350</v>
      </c>
      <c r="N79" s="2">
        <v>350</v>
      </c>
      <c r="O79" s="2">
        <v>350</v>
      </c>
      <c r="P79" s="9"/>
      <c r="Q79" s="2">
        <f>SUM(OSRRefD21_11_1x)+IFERROR(SUM(OSRRefE21_11_1x),0)</f>
        <v>4983.8500000000004</v>
      </c>
    </row>
    <row r="80" spans="1:17" s="35" customFormat="1" collapsed="1" x14ac:dyDescent="0.3">
      <c r="A80" s="34"/>
      <c r="B80" s="14" t="str">
        <f>CONCATENATE("     ","Training                                          ")</f>
        <v xml:space="preserve">     Training                                          </v>
      </c>
      <c r="C80" s="14"/>
      <c r="D80" s="1">
        <f>SUM(OSRRefD21_12x_0)</f>
        <v>0</v>
      </c>
      <c r="E80" s="1">
        <f>SUM(OSRRefD21_12x_1)</f>
        <v>0</v>
      </c>
      <c r="F80" s="1">
        <f>SUM(OSRRefD21_12x_2)</f>
        <v>0</v>
      </c>
      <c r="G80" s="1">
        <f>SUM(OSRRefD21_12x_3)</f>
        <v>0</v>
      </c>
      <c r="H80" s="1">
        <f>SUM(OSRRefD21_12x_4)</f>
        <v>0</v>
      </c>
      <c r="I80" s="1">
        <f>SUM(OSRRefD21_12x_5)</f>
        <v>0</v>
      </c>
      <c r="J80" s="1">
        <f>SUM(OSRRefE21_12x_0)</f>
        <v>0</v>
      </c>
      <c r="K80" s="1">
        <f>SUM(OSRRefE21_12x_1)</f>
        <v>0</v>
      </c>
      <c r="L80" s="1">
        <f>SUM(OSRRefE21_12x_2)</f>
        <v>0</v>
      </c>
      <c r="M80" s="1">
        <f>SUM(OSRRefE21_12x_3)</f>
        <v>0</v>
      </c>
      <c r="N80" s="1">
        <f>SUM(OSRRefE21_12x_4)</f>
        <v>0</v>
      </c>
      <c r="O80" s="1">
        <f>SUM(OSRRefE21_12x_5)</f>
        <v>0</v>
      </c>
      <c r="Q80" s="2">
        <f>SUM(OSRRefD20_12x)+IFERROR(SUM(OSRRefE20_12x),0)</f>
        <v>0</v>
      </c>
    </row>
    <row r="81" spans="1:17" s="35" customFormat="1" hidden="1" outlineLevel="1" x14ac:dyDescent="0.3">
      <c r="A81" s="34"/>
      <c r="B81" s="10" t="str">
        <f>CONCATENATE("          ","6376", " - ","TRAINING")</f>
        <v xml:space="preserve">          6376 - TRAINING</v>
      </c>
      <c r="C81" s="14"/>
      <c r="D81" s="2"/>
      <c r="E81" s="2"/>
      <c r="F81" s="2"/>
      <c r="G81" s="2"/>
      <c r="H81" s="2"/>
      <c r="I81" s="2"/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SUM(OSRRefD21_12_0x)+IFERROR(SUM(OSRRefE21_12_0x),0)</f>
        <v>0</v>
      </c>
    </row>
    <row r="82" spans="1:17" s="29" customFormat="1" x14ac:dyDescent="0.3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3">
      <c r="A83" s="23"/>
      <c r="B83" s="16" t="s">
        <v>293</v>
      </c>
      <c r="C83" s="22"/>
      <c r="D83" s="3">
        <f>--631.94</f>
        <v>631.94000000000005</v>
      </c>
      <c r="E83" s="3">
        <f>--28343.09</f>
        <v>28343.09</v>
      </c>
      <c r="F83" s="3">
        <f>--158981.45</f>
        <v>158981.45000000001</v>
      </c>
      <c r="G83" s="3">
        <f>--1715.41</f>
        <v>1715.41</v>
      </c>
      <c r="H83" s="3">
        <f>--300.14</f>
        <v>300.14</v>
      </c>
      <c r="I83" s="3">
        <f>--931.69</f>
        <v>931.69</v>
      </c>
      <c r="J83" s="3">
        <v>8853.33</v>
      </c>
      <c r="K83" s="3">
        <v>166302.39999999999</v>
      </c>
      <c r="L83" s="3">
        <v>459</v>
      </c>
      <c r="M83" s="3">
        <v>215</v>
      </c>
      <c r="N83" s="3">
        <v>6454</v>
      </c>
      <c r="O83" s="3">
        <v>8042</v>
      </c>
      <c r="Q83" s="2">
        <f>SUM(OSRRefD23_0x)+IFERROR(SUM(OSRRefE23_0x),0)</f>
        <v>381229.45</v>
      </c>
    </row>
    <row r="84" spans="1:17" x14ac:dyDescent="0.3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6"/>
      <c r="B85" s="17" t="s">
        <v>276</v>
      </c>
      <c r="C85" s="17"/>
      <c r="D85" s="7">
        <f t="shared" ref="D85:O85" si="3">IFERROR(+D29-D32+D83, 0)</f>
        <v>-34998.920000000035</v>
      </c>
      <c r="E85" s="7">
        <f t="shared" si="3"/>
        <v>116110.72999999995</v>
      </c>
      <c r="F85" s="7">
        <f t="shared" si="3"/>
        <v>113783.26999999995</v>
      </c>
      <c r="G85" s="7">
        <f t="shared" si="3"/>
        <v>-32876.240000000005</v>
      </c>
      <c r="H85" s="7">
        <f t="shared" si="3"/>
        <v>-38090.360000000022</v>
      </c>
      <c r="I85" s="7">
        <f t="shared" si="3"/>
        <v>-36499.48000000001</v>
      </c>
      <c r="J85" s="7">
        <f t="shared" si="3"/>
        <v>219400.85508376278</v>
      </c>
      <c r="K85" s="7">
        <f t="shared" si="3"/>
        <v>157122.30461101027</v>
      </c>
      <c r="L85" s="7">
        <f t="shared" si="3"/>
        <v>-40264.229754989719</v>
      </c>
      <c r="M85" s="7">
        <f t="shared" si="3"/>
        <v>-49224.975590737195</v>
      </c>
      <c r="N85" s="7">
        <f t="shared" si="3"/>
        <v>-25077.145897489718</v>
      </c>
      <c r="O85" s="7">
        <f t="shared" si="3"/>
        <v>-43131.963591039719</v>
      </c>
      <c r="Q85" s="7">
        <f>IFERROR(+Q29-Q32+Q83, 0)</f>
        <v>306253.84486051666</v>
      </c>
    </row>
    <row r="86" spans="1:17" s="6" customFormat="1" x14ac:dyDescent="0.3">
      <c r="B86" s="16"/>
      <c r="C86" s="16"/>
      <c r="D86" s="4">
        <f t="shared" ref="D86:O86" si="4">IFERROR(D85/D10, 0)</f>
        <v>-0.62273885440983945</v>
      </c>
      <c r="E86" s="4">
        <f t="shared" si="4"/>
        <v>0.15681541775831934</v>
      </c>
      <c r="F86" s="4">
        <f t="shared" si="4"/>
        <v>0.6437824919618611</v>
      </c>
      <c r="G86" s="4">
        <f t="shared" si="4"/>
        <v>-0.94636561812831377</v>
      </c>
      <c r="H86" s="4">
        <f t="shared" si="4"/>
        <v>-5.2267286531524082</v>
      </c>
      <c r="I86" s="4">
        <f t="shared" si="4"/>
        <v>-0.72545896368002583</v>
      </c>
      <c r="J86" s="4">
        <f t="shared" si="4"/>
        <v>0.2092994363854899</v>
      </c>
      <c r="K86" s="4">
        <f t="shared" si="4"/>
        <v>1.1522609607730292</v>
      </c>
      <c r="L86" s="4">
        <f t="shared" si="4"/>
        <v>-2.3469474093605571</v>
      </c>
      <c r="M86" s="4">
        <f t="shared" si="4"/>
        <v>-2.7880026954427501</v>
      </c>
      <c r="N86" s="4">
        <f t="shared" si="4"/>
        <v>-0.5100401874730961</v>
      </c>
      <c r="O86" s="4">
        <f t="shared" si="4"/>
        <v>-1.6593684296171938</v>
      </c>
      <c r="P86" s="18"/>
      <c r="Q86" s="4">
        <f>IFERROR(Q85/Q10, 0)</f>
        <v>0.12975169796469938</v>
      </c>
    </row>
    <row r="87" spans="1:17" x14ac:dyDescent="0.3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25"/>
      <c r="B88" s="6" t="s">
        <v>125</v>
      </c>
      <c r="C88" s="6"/>
      <c r="D88" s="3">
        <v>25964.91</v>
      </c>
      <c r="E88" s="3">
        <v>93078.07</v>
      </c>
      <c r="F88" s="3">
        <v>1436.83</v>
      </c>
      <c r="G88" s="3">
        <v>-3950.37</v>
      </c>
      <c r="H88" s="3">
        <v>4416.59</v>
      </c>
      <c r="I88" s="3">
        <v>7334.58</v>
      </c>
      <c r="J88" s="3">
        <v>123242</v>
      </c>
      <c r="K88" s="3">
        <v>7557</v>
      </c>
      <c r="L88" s="3">
        <v>632</v>
      </c>
      <c r="M88" s="3">
        <v>6046</v>
      </c>
      <c r="N88" s="3">
        <v>9090</v>
      </c>
      <c r="O88" s="3">
        <v>-30968</v>
      </c>
      <c r="Q88" s="2">
        <f>SUM(OSRRefD28_0x)+IFERROR(SUM(OSRRefE28_0x),0)</f>
        <v>243879.61000000002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" thickBot="1" x14ac:dyDescent="0.35">
      <c r="A90" s="6"/>
      <c r="B90" s="17" t="s">
        <v>124</v>
      </c>
      <c r="C90" s="17"/>
      <c r="D90" s="8">
        <f t="shared" ref="D90:O90" si="5">IFERROR(+D85-D88, 0)</f>
        <v>-60963.830000000031</v>
      </c>
      <c r="E90" s="8">
        <f t="shared" si="5"/>
        <v>23032.659999999945</v>
      </c>
      <c r="F90" s="8">
        <f t="shared" si="5"/>
        <v>112346.43999999994</v>
      </c>
      <c r="G90" s="8">
        <f t="shared" si="5"/>
        <v>-28925.870000000006</v>
      </c>
      <c r="H90" s="8">
        <f t="shared" si="5"/>
        <v>-42506.950000000026</v>
      </c>
      <c r="I90" s="8">
        <f t="shared" si="5"/>
        <v>-43834.060000000012</v>
      </c>
      <c r="J90" s="8">
        <f t="shared" si="5"/>
        <v>96158.855083762784</v>
      </c>
      <c r="K90" s="8">
        <f t="shared" si="5"/>
        <v>149565.30461101027</v>
      </c>
      <c r="L90" s="8">
        <f t="shared" si="5"/>
        <v>-40896.229754989719</v>
      </c>
      <c r="M90" s="8">
        <f t="shared" si="5"/>
        <v>-55270.975590737195</v>
      </c>
      <c r="N90" s="8">
        <f t="shared" si="5"/>
        <v>-34167.145897489718</v>
      </c>
      <c r="O90" s="8">
        <f t="shared" si="5"/>
        <v>-12163.963591039719</v>
      </c>
      <c r="Q90" s="8">
        <f>IFERROR(+Q85-Q88, 0)</f>
        <v>62374.234860516648</v>
      </c>
    </row>
    <row r="91" spans="1:17" ht="15" thickTop="1" x14ac:dyDescent="0.3">
      <c r="A91" s="5"/>
      <c r="B91" s="5"/>
      <c r="C91" s="5"/>
      <c r="D91" s="4">
        <f t="shared" ref="D91:O91" si="6">IFERROR(D90/D10, 0)</f>
        <v>-1.0847347762341291</v>
      </c>
      <c r="E91" s="4">
        <f t="shared" si="6"/>
        <v>3.1107169854029205E-2</v>
      </c>
      <c r="F91" s="4">
        <f t="shared" si="6"/>
        <v>0.63565294885833135</v>
      </c>
      <c r="G91" s="4">
        <f t="shared" si="6"/>
        <v>-0.83265144805030156</v>
      </c>
      <c r="H91" s="4">
        <f t="shared" si="6"/>
        <v>-5.8327695911279598</v>
      </c>
      <c r="I91" s="4">
        <f t="shared" si="6"/>
        <v>-0.87124013113304821</v>
      </c>
      <c r="J91" s="4">
        <f t="shared" si="6"/>
        <v>9.1731612280279651E-2</v>
      </c>
      <c r="K91" s="4">
        <f t="shared" si="6"/>
        <v>1.0968414829202866</v>
      </c>
      <c r="L91" s="4">
        <f t="shared" si="6"/>
        <v>-2.3837858332355863</v>
      </c>
      <c r="M91" s="4">
        <f t="shared" si="6"/>
        <v>-3.1304358626380377</v>
      </c>
      <c r="N91" s="4">
        <f t="shared" si="6"/>
        <v>-0.69492028998087574</v>
      </c>
      <c r="O91" s="4">
        <f t="shared" si="6"/>
        <v>-0.46797074562534985</v>
      </c>
      <c r="P91" s="18"/>
      <c r="Q91" s="4">
        <f>IFERROR(Q90/Q10, 0)</f>
        <v>2.6426322536740758E-2</v>
      </c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294</v>
      </c>
      <c r="C94" s="17"/>
      <c r="D94" s="8">
        <f t="shared" ref="D94:O94" si="7">IFERROR(SUM(D90:D93), 0)</f>
        <v>-60964.914734776263</v>
      </c>
      <c r="E94" s="8">
        <f t="shared" si="7"/>
        <v>23032.691107169798</v>
      </c>
      <c r="F94" s="8">
        <f t="shared" si="7"/>
        <v>112347.0756529488</v>
      </c>
      <c r="G94" s="8">
        <f t="shared" si="7"/>
        <v>-28926.702651448057</v>
      </c>
      <c r="H94" s="8">
        <f t="shared" si="7"/>
        <v>-42512.782769591155</v>
      </c>
      <c r="I94" s="8">
        <f t="shared" si="7"/>
        <v>-43834.931240131147</v>
      </c>
      <c r="J94" s="8">
        <f t="shared" si="7"/>
        <v>96158.946815375064</v>
      </c>
      <c r="K94" s="8">
        <f t="shared" si="7"/>
        <v>149566.40145249318</v>
      </c>
      <c r="L94" s="8">
        <f t="shared" si="7"/>
        <v>-40898.613540822953</v>
      </c>
      <c r="M94" s="8">
        <f t="shared" si="7"/>
        <v>-55274.106026599831</v>
      </c>
      <c r="N94" s="8">
        <f t="shared" si="7"/>
        <v>-34167.840817779695</v>
      </c>
      <c r="O94" s="8">
        <f t="shared" si="7"/>
        <v>-12164.431561785344</v>
      </c>
      <c r="Q94" s="8">
        <f>IFERROR(SUM(Q90:Q93), 0)</f>
        <v>62374.261286839188</v>
      </c>
    </row>
    <row r="95" spans="1:17" ht="15" thickTop="1" x14ac:dyDescent="0.3">
      <c r="A95" s="5"/>
      <c r="C95" s="5"/>
      <c r="D95" s="4">
        <f t="shared" ref="D95:O95" si="8">IFERROR(D94/D10, 0)</f>
        <v>-1.0847540770151787</v>
      </c>
      <c r="E95" s="4">
        <f t="shared" si="8"/>
        <v>3.1107211866372386E-2</v>
      </c>
      <c r="F95" s="4">
        <f t="shared" si="8"/>
        <v>0.6356565453645614</v>
      </c>
      <c r="G95" s="4">
        <f t="shared" si="8"/>
        <v>-0.83267541650601062</v>
      </c>
      <c r="H95" s="4">
        <f t="shared" si="8"/>
        <v>-5.8335699590937438</v>
      </c>
      <c r="I95" s="4">
        <f t="shared" si="8"/>
        <v>-0.87125744778968683</v>
      </c>
      <c r="J95" s="4">
        <f t="shared" si="8"/>
        <v>9.1731699788483487E-2</v>
      </c>
      <c r="K95" s="4">
        <f t="shared" si="8"/>
        <v>1.0968495266389937</v>
      </c>
      <c r="L95" s="4">
        <f t="shared" si="8"/>
        <v>-2.383924780882662</v>
      </c>
      <c r="M95" s="4">
        <f t="shared" si="8"/>
        <v>-3.1306131641708106</v>
      </c>
      <c r="N95" s="4">
        <f t="shared" si="8"/>
        <v>-0.6949344238570524</v>
      </c>
      <c r="O95" s="4">
        <f t="shared" si="8"/>
        <v>-0.46798874934733753</v>
      </c>
      <c r="P95" s="18"/>
      <c r="Q95" s="4">
        <f>IFERROR(Q94/Q10, 0)</f>
        <v>2.6426333732878463E-2</v>
      </c>
    </row>
    <row r="96" spans="1:17" x14ac:dyDescent="0.3">
      <c r="A96" s="5"/>
      <c r="B96" s="28">
        <v>44575.850692245367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3">
      <c r="A97" s="5"/>
      <c r="B97" s="26" t="s">
        <v>54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A98" s="5"/>
      <c r="B98" s="3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3"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","324", " - ", "Textbook Rental")</f>
        <v>Department 324 - Textbook Rental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5913.22</v>
      </c>
      <c r="E10" s="3">
        <f>SUM(OSRRefD11x_1)</f>
        <v>269241.33999999997</v>
      </c>
      <c r="F10" s="3">
        <f>SUM(OSRRefD11x_2)</f>
        <v>57614.85</v>
      </c>
      <c r="G10" s="3">
        <f>SUM(OSRRefD11x_3)</f>
        <v>2878.13</v>
      </c>
      <c r="H10" s="3">
        <f>SUM(OSRRefD11x_4)</f>
        <v>589.84</v>
      </c>
      <c r="I10" s="3">
        <f>SUM(OSRRefD11x_5)</f>
        <v>-2339.54</v>
      </c>
      <c r="J10" s="3">
        <f>SUM(OSRRefE11x_0)</f>
        <v>541997</v>
      </c>
      <c r="K10" s="3">
        <f>SUM(OSRRefE11x_1)</f>
        <v>60222</v>
      </c>
      <c r="L10" s="3">
        <f>SUM(OSRRefE11x_2)</f>
        <v>2071</v>
      </c>
      <c r="M10" s="3">
        <f>SUM(OSRRefE11x_3)</f>
        <v>1208</v>
      </c>
      <c r="N10" s="3">
        <f>SUM(OSRRefE11x_4)</f>
        <v>6600</v>
      </c>
      <c r="O10" s="3">
        <f>SUM(OSRRefE11x_5)</f>
        <v>-3801</v>
      </c>
      <c r="P10" s="24"/>
      <c r="Q10" s="3">
        <f>SUM(OSRRefG11x)</f>
        <v>942194.84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--3909.05</f>
        <v>3909.05</v>
      </c>
      <c r="E11" s="2">
        <f>--167084.93</f>
        <v>167084.93</v>
      </c>
      <c r="F11" s="2">
        <f>--38086.92</f>
        <v>38086.92</v>
      </c>
      <c r="G11" s="2">
        <f>--1977.76</f>
        <v>1977.76</v>
      </c>
      <c r="H11" s="2">
        <f>--298.49</f>
        <v>298.49</v>
      </c>
      <c r="I11" s="2">
        <f>-1226.58</f>
        <v>-1226.58</v>
      </c>
      <c r="J11" s="2">
        <v>541997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818427.57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--2004.17</f>
        <v>2004.17</v>
      </c>
      <c r="E12" s="2">
        <f>--102156.41</f>
        <v>102156.41</v>
      </c>
      <c r="F12" s="2">
        <f>--19527.93</f>
        <v>19527.93</v>
      </c>
      <c r="G12" s="2">
        <f>--900.37</f>
        <v>900.37</v>
      </c>
      <c r="H12" s="2">
        <f>--291.35</f>
        <v>291.35000000000002</v>
      </c>
      <c r="I12" s="2">
        <f>-1112.96</f>
        <v>-1112.96</v>
      </c>
      <c r="J12" s="2"/>
      <c r="K12" s="2"/>
      <c r="L12" s="2"/>
      <c r="M12" s="2"/>
      <c r="N12" s="2"/>
      <c r="O12" s="2"/>
      <c r="Q12" s="2">
        <f>SUM(OSRRefD11_1x)+IFERROR(SUM(OSRRefE11_1x),0)</f>
        <v>123767.27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2010.03</v>
      </c>
      <c r="E14" s="3">
        <f>SUM(OSRRefD14x_1)</f>
        <v>202950.63</v>
      </c>
      <c r="F14" s="3">
        <f>SUM(OSRRefD14x_2)</f>
        <v>46013.09</v>
      </c>
      <c r="G14" s="3">
        <f>SUM(OSRRefD14x_3)</f>
        <v>2444.34</v>
      </c>
      <c r="H14" s="3">
        <f>SUM(OSRRefD14x_4)</f>
        <v>320.27999999999997</v>
      </c>
      <c r="I14" s="3">
        <f>SUM(OSRRefD14x_5)</f>
        <v>-2535.46</v>
      </c>
      <c r="J14" s="3">
        <f>SUM(OSRRefE14x_0)</f>
        <v>392948</v>
      </c>
      <c r="K14" s="3">
        <f>SUM(OSRRefE14x_1)</f>
        <v>43661</v>
      </c>
      <c r="L14" s="3">
        <f>SUM(OSRRefE14x_2)</f>
        <v>1501</v>
      </c>
      <c r="M14" s="3">
        <f>SUM(OSRRefE14x_3)</f>
        <v>876</v>
      </c>
      <c r="N14" s="3">
        <f>SUM(OSRRefE14x_4)</f>
        <v>4785</v>
      </c>
      <c r="O14" s="3">
        <f>SUM(OSRRefE14x_5)</f>
        <v>-2756</v>
      </c>
      <c r="Q14" s="3">
        <f>SUM(OSRRefG14x)</f>
        <v>692217.91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>
        <v>2010.03</v>
      </c>
      <c r="E15" s="2">
        <v>202950.63</v>
      </c>
      <c r="F15" s="2">
        <v>46013.09</v>
      </c>
      <c r="G15" s="2">
        <v>2444.34</v>
      </c>
      <c r="H15" s="2">
        <v>320.27999999999997</v>
      </c>
      <c r="I15" s="2">
        <v>-2535.46</v>
      </c>
      <c r="J15" s="2">
        <v>392948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692217.91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7">
        <f t="shared" ref="D17:O17" si="0">IFERROR(+D10-D14, 0)</f>
        <v>3903.1900000000005</v>
      </c>
      <c r="E17" s="7">
        <f t="shared" si="0"/>
        <v>66290.709999999963</v>
      </c>
      <c r="F17" s="7">
        <f t="shared" si="0"/>
        <v>11601.760000000002</v>
      </c>
      <c r="G17" s="7">
        <f t="shared" si="0"/>
        <v>433.78999999999996</v>
      </c>
      <c r="H17" s="7">
        <f t="shared" si="0"/>
        <v>269.56000000000006</v>
      </c>
      <c r="I17" s="7">
        <f t="shared" si="0"/>
        <v>195.92000000000007</v>
      </c>
      <c r="J17" s="7">
        <f t="shared" si="0"/>
        <v>149049</v>
      </c>
      <c r="K17" s="7">
        <f t="shared" si="0"/>
        <v>16561</v>
      </c>
      <c r="L17" s="7">
        <f t="shared" si="0"/>
        <v>570</v>
      </c>
      <c r="M17" s="7">
        <f t="shared" si="0"/>
        <v>332</v>
      </c>
      <c r="N17" s="7">
        <f t="shared" si="0"/>
        <v>1815</v>
      </c>
      <c r="O17" s="7">
        <f t="shared" si="0"/>
        <v>-1045</v>
      </c>
      <c r="Q17" s="7">
        <f>IFERROR(+Q10-Q14, 0)</f>
        <v>249976.92999999993</v>
      </c>
    </row>
    <row r="18" spans="1:17" s="6" customFormat="1" x14ac:dyDescent="0.3">
      <c r="B18" s="16"/>
      <c r="C18" s="16"/>
      <c r="D18" s="4">
        <f t="shared" ref="D18:O18" si="1">IFERROR(D17/D10, 0)</f>
        <v>0.66007860353580627</v>
      </c>
      <c r="E18" s="4">
        <f t="shared" si="1"/>
        <v>0.24621297011818458</v>
      </c>
      <c r="F18" s="4">
        <f t="shared" si="1"/>
        <v>0.20136752937827665</v>
      </c>
      <c r="G18" s="4">
        <f t="shared" si="1"/>
        <v>0.15071939071549928</v>
      </c>
      <c r="H18" s="4">
        <f t="shared" si="1"/>
        <v>0.45700528957005299</v>
      </c>
      <c r="I18" s="4">
        <f t="shared" si="1"/>
        <v>-8.3742958017388069E-2</v>
      </c>
      <c r="J18" s="4">
        <f t="shared" si="1"/>
        <v>0.27499967711998408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0.26531341436766936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29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3"/>
      <c r="B22" s="16" t="s">
        <v>293</v>
      </c>
      <c r="C22" s="22"/>
      <c r="D22" s="3">
        <f t="shared" ref="D22:I22" si="3">0</f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3">
        <f t="shared" si="3"/>
        <v>0</v>
      </c>
      <c r="I22" s="3">
        <f t="shared" si="3"/>
        <v>0</v>
      </c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7">
        <f t="shared" ref="D24:O24" si="4">IFERROR(+D17-D20+D22, 0)</f>
        <v>3903.1900000000005</v>
      </c>
      <c r="E24" s="7">
        <f t="shared" si="4"/>
        <v>66290.709999999963</v>
      </c>
      <c r="F24" s="7">
        <f t="shared" si="4"/>
        <v>11601.760000000002</v>
      </c>
      <c r="G24" s="7">
        <f t="shared" si="4"/>
        <v>433.78999999999996</v>
      </c>
      <c r="H24" s="7">
        <f t="shared" si="4"/>
        <v>269.56000000000006</v>
      </c>
      <c r="I24" s="7">
        <f t="shared" si="4"/>
        <v>195.92000000000007</v>
      </c>
      <c r="J24" s="7">
        <f t="shared" si="4"/>
        <v>149049</v>
      </c>
      <c r="K24" s="7">
        <f t="shared" si="4"/>
        <v>16561</v>
      </c>
      <c r="L24" s="7">
        <f t="shared" si="4"/>
        <v>570</v>
      </c>
      <c r="M24" s="7">
        <f t="shared" si="4"/>
        <v>332</v>
      </c>
      <c r="N24" s="7">
        <f t="shared" si="4"/>
        <v>1815</v>
      </c>
      <c r="O24" s="7">
        <f t="shared" si="4"/>
        <v>-1045</v>
      </c>
      <c r="Q24" s="7">
        <f>IFERROR(+Q17-Q20+Q22, 0)</f>
        <v>249976.92999999993</v>
      </c>
    </row>
    <row r="25" spans="1:17" s="6" customFormat="1" x14ac:dyDescent="0.3">
      <c r="B25" s="16"/>
      <c r="C25" s="16"/>
      <c r="D25" s="4">
        <f t="shared" ref="D25:O25" si="5">IFERROR(D24/D10, 0)</f>
        <v>0.66007860353580627</v>
      </c>
      <c r="E25" s="4">
        <f t="shared" si="5"/>
        <v>0.24621297011818458</v>
      </c>
      <c r="F25" s="4">
        <f t="shared" si="5"/>
        <v>0.20136752937827665</v>
      </c>
      <c r="G25" s="4">
        <f t="shared" si="5"/>
        <v>0.15071939071549928</v>
      </c>
      <c r="H25" s="4">
        <f t="shared" si="5"/>
        <v>0.45700528957005299</v>
      </c>
      <c r="I25" s="4">
        <f t="shared" si="5"/>
        <v>-8.3742958017388069E-2</v>
      </c>
      <c r="J25" s="4">
        <f t="shared" si="5"/>
        <v>0.27499967711998408</v>
      </c>
      <c r="K25" s="4">
        <f t="shared" si="5"/>
        <v>0.2749991697386337</v>
      </c>
      <c r="L25" s="4">
        <f t="shared" si="5"/>
        <v>0.27522935779816515</v>
      </c>
      <c r="M25" s="4">
        <f t="shared" si="5"/>
        <v>0.27483443708609273</v>
      </c>
      <c r="N25" s="4">
        <f t="shared" si="5"/>
        <v>0.27500000000000002</v>
      </c>
      <c r="O25" s="4">
        <f t="shared" si="5"/>
        <v>0.27492765061825836</v>
      </c>
      <c r="P25" s="18"/>
      <c r="Q25" s="4">
        <f>IFERROR(Q24/Q10, 0)</f>
        <v>0.26531341436766936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>
        <v>2731.88</v>
      </c>
      <c r="E27" s="3">
        <v>38385.300000000003</v>
      </c>
      <c r="F27" s="3">
        <v>71.56</v>
      </c>
      <c r="G27" s="3">
        <v>-2390.66</v>
      </c>
      <c r="H27" s="3">
        <v>1251.74</v>
      </c>
      <c r="I27" s="3">
        <v>141.72999999999999</v>
      </c>
      <c r="J27" s="3">
        <v>64036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94248.55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8">
        <f t="shared" ref="D29:O29" si="6">IFERROR(+D24-D27, 0)</f>
        <v>1171.3100000000004</v>
      </c>
      <c r="E29" s="8">
        <f t="shared" si="6"/>
        <v>27905.40999999996</v>
      </c>
      <c r="F29" s="8">
        <f t="shared" si="6"/>
        <v>11530.200000000003</v>
      </c>
      <c r="G29" s="8">
        <f t="shared" si="6"/>
        <v>2824.45</v>
      </c>
      <c r="H29" s="8">
        <f t="shared" si="6"/>
        <v>-982.18</v>
      </c>
      <c r="I29" s="8">
        <f t="shared" si="6"/>
        <v>54.190000000000083</v>
      </c>
      <c r="J29" s="8">
        <f t="shared" si="6"/>
        <v>85013</v>
      </c>
      <c r="K29" s="8">
        <f t="shared" si="6"/>
        <v>13681</v>
      </c>
      <c r="L29" s="8">
        <f t="shared" si="6"/>
        <v>1031</v>
      </c>
      <c r="M29" s="8">
        <f t="shared" si="6"/>
        <v>-1706</v>
      </c>
      <c r="N29" s="8">
        <f t="shared" si="6"/>
        <v>-457</v>
      </c>
      <c r="O29" s="8">
        <f t="shared" si="6"/>
        <v>15663</v>
      </c>
      <c r="Q29" s="8">
        <f>IFERROR(+Q24-Q27, 0)</f>
        <v>155728.37999999995</v>
      </c>
    </row>
    <row r="30" spans="1:17" ht="15" thickTop="1" x14ac:dyDescent="0.3">
      <c r="A30" s="5"/>
      <c r="B30" s="5"/>
      <c r="C30" s="5"/>
      <c r="D30" s="4">
        <f t="shared" ref="D30:O30" si="7">IFERROR(D29/D10, 0)</f>
        <v>0.1980832778080302</v>
      </c>
      <c r="E30" s="4">
        <f t="shared" si="7"/>
        <v>0.1036445963313062</v>
      </c>
      <c r="F30" s="4">
        <f t="shared" si="7"/>
        <v>0.20012548848083442</v>
      </c>
      <c r="G30" s="4">
        <f t="shared" si="7"/>
        <v>0.98134900091378763</v>
      </c>
      <c r="H30" s="4">
        <f t="shared" si="7"/>
        <v>-1.6651634341516341</v>
      </c>
      <c r="I30" s="4">
        <f t="shared" si="7"/>
        <v>-2.3162673004094858E-2</v>
      </c>
      <c r="J30" s="4">
        <f t="shared" si="7"/>
        <v>0.15685142168683591</v>
      </c>
      <c r="K30" s="4">
        <f t="shared" si="7"/>
        <v>0.2271761150410149</v>
      </c>
      <c r="L30" s="4">
        <f t="shared" si="7"/>
        <v>0.49782713664896183</v>
      </c>
      <c r="M30" s="4">
        <f t="shared" si="7"/>
        <v>-1.4122516556291391</v>
      </c>
      <c r="N30" s="4">
        <f t="shared" si="7"/>
        <v>-6.9242424242424244E-2</v>
      </c>
      <c r="O30" s="4">
        <f t="shared" si="7"/>
        <v>-4.1207576953433307</v>
      </c>
      <c r="P30" s="18"/>
      <c r="Q30" s="4">
        <f>IFERROR(Q29/Q10, 0)</f>
        <v>0.16528256512209297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8">
        <f t="shared" ref="D33:O33" si="8">IFERROR(SUM(D29:D32), 0)</f>
        <v>1171.5080832778085</v>
      </c>
      <c r="E33" s="8">
        <f t="shared" si="8"/>
        <v>27905.513644596293</v>
      </c>
      <c r="F33" s="8">
        <f t="shared" si="8"/>
        <v>11530.400125488484</v>
      </c>
      <c r="G33" s="8">
        <f t="shared" si="8"/>
        <v>2825.4313490009135</v>
      </c>
      <c r="H33" s="8">
        <f t="shared" si="8"/>
        <v>-983.84516343415157</v>
      </c>
      <c r="I33" s="8">
        <f t="shared" si="8"/>
        <v>54.166837326995989</v>
      </c>
      <c r="J33" s="8">
        <f t="shared" si="8"/>
        <v>85013.156851421692</v>
      </c>
      <c r="K33" s="8">
        <f t="shared" si="8"/>
        <v>13681.22717611504</v>
      </c>
      <c r="L33" s="8">
        <f t="shared" si="8"/>
        <v>1031.497827136649</v>
      </c>
      <c r="M33" s="8">
        <f t="shared" si="8"/>
        <v>-1707.4122516556292</v>
      </c>
      <c r="N33" s="8">
        <f t="shared" si="8"/>
        <v>-457.06924242424242</v>
      </c>
      <c r="O33" s="8">
        <f t="shared" si="8"/>
        <v>15658.879242304656</v>
      </c>
      <c r="Q33" s="8">
        <f>IFERROR(SUM(Q29:Q32), 0)</f>
        <v>155728.54528256506</v>
      </c>
    </row>
    <row r="34" spans="1:17" ht="15" thickTop="1" x14ac:dyDescent="0.3">
      <c r="A34" s="5"/>
      <c r="C34" s="5"/>
      <c r="D34" s="4">
        <f t="shared" ref="D34:O34" si="9">IFERROR(D33/D10, 0)</f>
        <v>0.1981167761858697</v>
      </c>
      <c r="E34" s="4">
        <f t="shared" si="9"/>
        <v>0.10364498128183545</v>
      </c>
      <c r="F34" s="4">
        <f t="shared" si="9"/>
        <v>0.20012896198616303</v>
      </c>
      <c r="G34" s="4">
        <f t="shared" si="9"/>
        <v>0.9816899684867999</v>
      </c>
      <c r="H34" s="4">
        <f t="shared" si="9"/>
        <v>-1.6679865106370397</v>
      </c>
      <c r="I34" s="4">
        <f t="shared" si="9"/>
        <v>-2.3152772479631035E-2</v>
      </c>
      <c r="J34" s="4">
        <f t="shared" si="9"/>
        <v>0.15685171108220469</v>
      </c>
      <c r="K34" s="4">
        <f t="shared" si="9"/>
        <v>0.22717988735204811</v>
      </c>
      <c r="L34" s="4">
        <f t="shared" si="9"/>
        <v>0.49806751672460114</v>
      </c>
      <c r="M34" s="4">
        <f t="shared" si="9"/>
        <v>-1.4134207381255208</v>
      </c>
      <c r="N34" s="4">
        <f t="shared" si="9"/>
        <v>-6.9252915518824607E-2</v>
      </c>
      <c r="O34" s="4">
        <f t="shared" si="9"/>
        <v>-4.1196735707194572</v>
      </c>
      <c r="P34" s="18"/>
      <c r="Q34" s="4">
        <f>IFERROR(Q33/Q10, 0)</f>
        <v>0.16528274054500772</v>
      </c>
    </row>
    <row r="35" spans="1:17" x14ac:dyDescent="0.3">
      <c r="A35" s="5"/>
      <c r="B35" s="28">
        <v>44575.850692245367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26" t="s">
        <v>54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3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R13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22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155851.6</v>
      </c>
      <c r="E10" s="3">
        <f>SUM(OSRRefD11x_1)</f>
        <v>430665.4</v>
      </c>
      <c r="F10" s="3">
        <f>SUM(OSRRefD11x_2)</f>
        <v>307898.32</v>
      </c>
      <c r="G10" s="3">
        <f>SUM(OSRRefD11x_3)</f>
        <v>478030.84</v>
      </c>
      <c r="H10" s="3">
        <f>SUM(OSRRefD11x_4)</f>
        <v>265288.17000000004</v>
      </c>
      <c r="I10" s="3">
        <f>SUM(OSRRefD11x_5)</f>
        <v>430899.16</v>
      </c>
      <c r="J10" s="3">
        <f>SUM(OSRRefE11x_0)</f>
        <v>264105</v>
      </c>
      <c r="K10" s="3">
        <f>SUM(OSRRefE11x_1)</f>
        <v>240108</v>
      </c>
      <c r="L10" s="3">
        <f>SUM(OSRRefE11x_2)</f>
        <v>257549</v>
      </c>
      <c r="M10" s="3">
        <f>SUM(OSRRefE11x_3)</f>
        <v>255732</v>
      </c>
      <c r="N10" s="3">
        <f>SUM(OSRRefE11x_4)</f>
        <v>264303</v>
      </c>
      <c r="O10" s="3">
        <f>SUM(OSRRefE11x_5)</f>
        <v>255409</v>
      </c>
      <c r="P10" s="24"/>
      <c r="Q10" s="3">
        <f>SUM(OSRRefG11x)</f>
        <v>3605839.4899999998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--150984.27</f>
        <v>150984.26999999999</v>
      </c>
      <c r="E11" s="2">
        <f>--413306.18</f>
        <v>413306.18</v>
      </c>
      <c r="F11" s="2">
        <f>--270767.95</f>
        <v>270767.95</v>
      </c>
      <c r="G11" s="2">
        <f>--431595.01</f>
        <v>431595.01</v>
      </c>
      <c r="H11" s="2">
        <f>--242978.9</f>
        <v>242978.9</v>
      </c>
      <c r="I11" s="2">
        <f>--449868.85</f>
        <v>449868.85</v>
      </c>
      <c r="J11" s="2">
        <v>264105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3496707.1599999997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--9632.79</f>
        <v>9632.7900000000009</v>
      </c>
      <c r="E12" s="2">
        <f>--25660.29</f>
        <v>25660.29</v>
      </c>
      <c r="F12" s="2">
        <f>--48117.26</f>
        <v>48117.26</v>
      </c>
      <c r="G12" s="2">
        <f>--62982.5</f>
        <v>62982.5</v>
      </c>
      <c r="H12" s="2">
        <f>--38149.55</f>
        <v>38149.550000000003</v>
      </c>
      <c r="I12" s="2">
        <f>--43641.56</f>
        <v>43641.56</v>
      </c>
      <c r="J12" s="2"/>
      <c r="K12" s="2"/>
      <c r="L12" s="2"/>
      <c r="M12" s="2"/>
      <c r="N12" s="2"/>
      <c r="O12" s="2"/>
      <c r="Q12" s="2">
        <f>SUM(OSRRefD11_1x)+IFERROR(SUM(OSRRefE11_1x),0)</f>
        <v>228183.95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-4645.61</f>
        <v>-4645.6099999999997</v>
      </c>
      <c r="E13" s="2">
        <f>-8202.72</f>
        <v>-8202.7199999999993</v>
      </c>
      <c r="F13" s="2">
        <f>-10646.11</f>
        <v>-10646.11</v>
      </c>
      <c r="G13" s="2">
        <f>-9287.11</f>
        <v>-9287.11</v>
      </c>
      <c r="H13" s="2">
        <f>-9395.35</f>
        <v>-9395.35</v>
      </c>
      <c r="I13" s="2">
        <f>-14419.4</f>
        <v>-14419.4</v>
      </c>
      <c r="J13" s="2"/>
      <c r="K13" s="2"/>
      <c r="L13" s="2"/>
      <c r="M13" s="2"/>
      <c r="N13" s="2"/>
      <c r="O13" s="2"/>
      <c r="Q13" s="2">
        <f>SUM(OSRRefD11_2x)+IFERROR(SUM(OSRRefE11_2x),0)</f>
        <v>-56596.3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>
        <f>-168.79</f>
        <v>-168.79</v>
      </c>
      <c r="J14" s="2"/>
      <c r="K14" s="2"/>
      <c r="L14" s="2"/>
      <c r="M14" s="2"/>
      <c r="N14" s="2"/>
      <c r="O14" s="2"/>
      <c r="Q14" s="2">
        <f>SUM(OSRRefD11_3x)+IFERROR(SUM(OSRRefE11_3x),0)</f>
        <v>-1276.1999999999998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-6924.23</f>
        <v>-6924.23</v>
      </c>
      <c r="H15" s="2">
        <f>-6231.83</f>
        <v>-6231.83</v>
      </c>
      <c r="I15" s="2">
        <f>-48023.06</f>
        <v>-48023.06</v>
      </c>
      <c r="J15" s="2"/>
      <c r="K15" s="2"/>
      <c r="L15" s="2"/>
      <c r="M15" s="2"/>
      <c r="N15" s="2"/>
      <c r="O15" s="2"/>
      <c r="Q15" s="2">
        <f>SUM(OSRRefD11_4x)+IFERROR(SUM(OSRRefE11_4x),0)</f>
        <v>-61179.119999999995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82719.690000000017</v>
      </c>
      <c r="E17" s="3">
        <f>SUM(OSRRefD14x_1)</f>
        <v>180200.93000000002</v>
      </c>
      <c r="F17" s="3">
        <f>SUM(OSRRefD14x_2)</f>
        <v>145176.92000000001</v>
      </c>
      <c r="G17" s="3">
        <f>SUM(OSRRefD14x_3)</f>
        <v>272515.94000000006</v>
      </c>
      <c r="H17" s="3">
        <f>SUM(OSRRefD14x_4)</f>
        <v>124439.65</v>
      </c>
      <c r="I17" s="3">
        <f>SUM(OSRRefD14x_5)</f>
        <v>212397.71999999997</v>
      </c>
      <c r="J17" s="3">
        <f>SUM(OSRRefE14x_0)</f>
        <v>131183</v>
      </c>
      <c r="K17" s="3">
        <f>SUM(OSRRefE14x_1)</f>
        <v>119972</v>
      </c>
      <c r="L17" s="3">
        <f>SUM(OSRRefE14x_2)</f>
        <v>125394</v>
      </c>
      <c r="M17" s="3">
        <f>SUM(OSRRefE14x_3)</f>
        <v>123280</v>
      </c>
      <c r="N17" s="3">
        <f>SUM(OSRRefE14x_4)</f>
        <v>131541</v>
      </c>
      <c r="O17" s="3">
        <f>SUM(OSRRefE14x_5)</f>
        <v>133657</v>
      </c>
      <c r="Q17" s="3">
        <f>SUM(OSRRefG14x)</f>
        <v>1782477.8499999999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63702.01</v>
      </c>
      <c r="F18" s="2">
        <v>134247.25</v>
      </c>
      <c r="G18" s="2">
        <v>446430.58</v>
      </c>
      <c r="H18" s="2">
        <v>109123.35</v>
      </c>
      <c r="I18" s="2">
        <v>211156.58</v>
      </c>
      <c r="J18" s="2">
        <v>131183</v>
      </c>
      <c r="K18" s="2">
        <v>119972</v>
      </c>
      <c r="L18" s="2">
        <v>125394</v>
      </c>
      <c r="M18" s="2">
        <v>123280</v>
      </c>
      <c r="N18" s="2">
        <v>131541</v>
      </c>
      <c r="O18" s="2">
        <v>133657</v>
      </c>
      <c r="Q18" s="2">
        <f>SUM(OSRRefD14_0x)+IFERROR(SUM(OSRRefE14_0x),0)</f>
        <v>1810242.4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","5040", " - ","PURCHASES @ COST-LOGO CLOTHING")</f>
        <v xml:space="preserve">          5040 - PURCHASES @ COST-LOGO CLOTHING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","5041", " - ","PURCHASES @ COST-LOGO GIFTS")</f>
        <v xml:space="preserve">          5041 - PURCHASES @ COST-LOGO GIFTS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","5042", " - ","PURCHASES @ COST-EVERYDAY GIFT")</f>
        <v xml:space="preserve">          5042 - PURCHASES @ COST-EVERYDAY GIFT</v>
      </c>
      <c r="C24" s="22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","5043", " - ","PURCHASES @ COST-CARDS")</f>
        <v xml:space="preserve">          5043 - PURCHASES @ COST-CARDS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","5044", " - ","PURCHASES @ COST-ACCESSORIES")</f>
        <v xml:space="preserve">          5044 - PURCHASES @ COST-ACCESSORIES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","5045", " - ","PURCHASES @ COST-SPECIAL ORDER")</f>
        <v xml:space="preserve">          5045 - PURCHASES @ COST-SPECIAL ORDER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","5200", " - ","PURCHASES OFFSET")</f>
        <v xml:space="preserve">          5200 - PURCHASES OFFSET</v>
      </c>
      <c r="C28" s="22"/>
      <c r="D28" s="2">
        <v>-81956.95</v>
      </c>
      <c r="E28" s="2">
        <v>-66711.179999999993</v>
      </c>
      <c r="F28" s="2">
        <v>-137158.98000000001</v>
      </c>
      <c r="G28" s="2">
        <v>-451854.04</v>
      </c>
      <c r="H28" s="2">
        <v>-119795.1</v>
      </c>
      <c r="I28" s="2">
        <v>-219682.04</v>
      </c>
      <c r="J28" s="2"/>
      <c r="K28" s="2"/>
      <c r="L28" s="2"/>
      <c r="M28" s="2"/>
      <c r="N28" s="2"/>
      <c r="O28" s="2"/>
      <c r="Q28" s="2">
        <f>SUM(OSRRefD14_10x)+IFERROR(SUM(OSRRefE14_10x),0)</f>
        <v>-1077158.2899999998</v>
      </c>
    </row>
    <row r="29" spans="1:17" s="9" customFormat="1" hidden="1" outlineLevel="1" x14ac:dyDescent="0.3">
      <c r="A29" s="23"/>
      <c r="B29" s="10" t="str">
        <f>CONCATENATE("          ","5300", " - ","COG$ OFFSET")</f>
        <v xml:space="preserve">          5300 - COG$ OFFSET</v>
      </c>
      <c r="C29" s="22"/>
      <c r="D29" s="2">
        <v>82719.69</v>
      </c>
      <c r="E29" s="2">
        <v>180200.93</v>
      </c>
      <c r="F29" s="2">
        <v>145176.92000000001</v>
      </c>
      <c r="G29" s="2">
        <v>272515.94</v>
      </c>
      <c r="H29" s="2">
        <v>124439.65</v>
      </c>
      <c r="I29" s="2">
        <v>212397.72</v>
      </c>
      <c r="J29" s="2"/>
      <c r="K29" s="2"/>
      <c r="L29" s="2"/>
      <c r="M29" s="2"/>
      <c r="N29" s="2"/>
      <c r="O29" s="2"/>
      <c r="Q29" s="2">
        <f>SUM(OSRRefD14_11x)+IFERROR(SUM(OSRRefE14_11x),0)</f>
        <v>1017450.85</v>
      </c>
    </row>
    <row r="30" spans="1:17" s="9" customFormat="1" hidden="1" outlineLevel="1" x14ac:dyDescent="0.3">
      <c r="A30" s="23"/>
      <c r="B30" s="10" t="str">
        <f>CONCATENATE("          ","5500", " - ","FREIGHT-IN")</f>
        <v xml:space="preserve">          5500 - FREIGHT-IN</v>
      </c>
      <c r="C30" s="22"/>
      <c r="D30" s="2">
        <v>1401.32</v>
      </c>
      <c r="E30" s="2">
        <v>3009.17</v>
      </c>
      <c r="F30" s="2">
        <v>2911.73</v>
      </c>
      <c r="G30" s="2">
        <v>5423.46</v>
      </c>
      <c r="H30" s="2">
        <v>10671.75</v>
      </c>
      <c r="I30" s="2">
        <v>8525.4599999999991</v>
      </c>
      <c r="J30" s="2"/>
      <c r="K30" s="2"/>
      <c r="L30" s="2"/>
      <c r="M30" s="2"/>
      <c r="N30" s="2"/>
      <c r="O30" s="2"/>
      <c r="Q30" s="2">
        <f>SUM(OSRRefD14_12x)+IFERROR(SUM(OSRRefE14_12x),0)</f>
        <v>31942.89</v>
      </c>
    </row>
    <row r="31" spans="1:17" s="9" customFormat="1" hidden="1" outlineLevel="1" x14ac:dyDescent="0.3">
      <c r="A31" s="23"/>
      <c r="B31" s="10" t="str">
        <f>CONCATENATE("          ","5527", " - ","FREIGHT-IN-SCHOOL SUPPLIES")</f>
        <v xml:space="preserve">          5527 - FREIGHT-IN-SCHOOL SUPPLIES</v>
      </c>
      <c r="C31" s="22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3"/>
      <c r="B32" s="10" t="str">
        <f>CONCATENATE("          ","5540", " - ","FREIGHT-IN-LOGO CLOTHING")</f>
        <v xml:space="preserve">          5540 - FREIGHT-IN-LOGO CLOTHING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","5541", " - ","FREIGHT-IN-LOGO GIFTS")</f>
        <v xml:space="preserve">          5541 - FREIGHT-IN-LOGO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","5542", " - ","FREIGHT-IN-EVERYDAY GIFTS")</f>
        <v xml:space="preserve">          5542 - FREIGHT-IN-EVERYDAY GIFTS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","5544", " - ","FREIGHT-IN-ACCESSORIES")</f>
        <v xml:space="preserve">          5544 - FREIGHT-IN-ACCESSORIES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","5545", " - ","FREIGHT-IN-SPECIAL ORDERS")</f>
        <v xml:space="preserve">          5545 - FREIGHT-IN-SPECIAL ORDERS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3">
      <c r="A38" s="6"/>
      <c r="B38" s="17" t="s">
        <v>105</v>
      </c>
      <c r="C38" s="17"/>
      <c r="D38" s="7">
        <f t="shared" ref="D38:O38" si="1">IFERROR(+D10-D17, 0)</f>
        <v>73131.909999999989</v>
      </c>
      <c r="E38" s="7">
        <f t="shared" si="1"/>
        <v>250464.47</v>
      </c>
      <c r="F38" s="7">
        <f t="shared" si="1"/>
        <v>162721.4</v>
      </c>
      <c r="G38" s="7">
        <f t="shared" si="1"/>
        <v>205514.89999999997</v>
      </c>
      <c r="H38" s="7">
        <f t="shared" si="1"/>
        <v>140848.52000000005</v>
      </c>
      <c r="I38" s="7">
        <f t="shared" si="1"/>
        <v>218501.44</v>
      </c>
      <c r="J38" s="7">
        <f t="shared" si="1"/>
        <v>132922</v>
      </c>
      <c r="K38" s="7">
        <f t="shared" si="1"/>
        <v>120136</v>
      </c>
      <c r="L38" s="7">
        <f t="shared" si="1"/>
        <v>132155</v>
      </c>
      <c r="M38" s="7">
        <f t="shared" si="1"/>
        <v>132452</v>
      </c>
      <c r="N38" s="7">
        <f t="shared" si="1"/>
        <v>132762</v>
      </c>
      <c r="O38" s="7">
        <f t="shared" si="1"/>
        <v>121752</v>
      </c>
      <c r="Q38" s="7">
        <f>IFERROR(+Q10-Q17, 0)</f>
        <v>1823361.64</v>
      </c>
    </row>
    <row r="39" spans="1:17" s="6" customFormat="1" x14ac:dyDescent="0.3">
      <c r="B39" s="16"/>
      <c r="C39" s="16"/>
      <c r="D39" s="4">
        <f t="shared" ref="D39:O39" si="2">IFERROR(D38/D10, 0)</f>
        <v>0.46924067510375245</v>
      </c>
      <c r="E39" s="4">
        <f t="shared" si="2"/>
        <v>0.58157555726557086</v>
      </c>
      <c r="F39" s="4">
        <f t="shared" si="2"/>
        <v>0.52849070433382028</v>
      </c>
      <c r="G39" s="4">
        <f t="shared" si="2"/>
        <v>0.42991975162104595</v>
      </c>
      <c r="H39" s="4">
        <f t="shared" si="2"/>
        <v>0.53092650154735521</v>
      </c>
      <c r="I39" s="4">
        <f t="shared" si="2"/>
        <v>0.50708253875454301</v>
      </c>
      <c r="J39" s="4">
        <f t="shared" si="2"/>
        <v>0.50329225118797449</v>
      </c>
      <c r="K39" s="4">
        <f t="shared" si="2"/>
        <v>0.50034151298582308</v>
      </c>
      <c r="L39" s="4">
        <f t="shared" si="2"/>
        <v>0.51312565764184681</v>
      </c>
      <c r="M39" s="4">
        <f t="shared" si="2"/>
        <v>0.51793283593762218</v>
      </c>
      <c r="N39" s="4">
        <f t="shared" si="2"/>
        <v>0.5023098489233947</v>
      </c>
      <c r="O39" s="4">
        <f t="shared" si="2"/>
        <v>0.4766942433508608</v>
      </c>
      <c r="P39" s="18"/>
      <c r="Q39" s="4">
        <f>IFERROR(Q38/Q10, 0)</f>
        <v>0.50566910841613755</v>
      </c>
    </row>
    <row r="40" spans="1:17" x14ac:dyDescent="0.3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3">
      <c r="A41" s="6"/>
      <c r="B41" s="16" t="s">
        <v>255</v>
      </c>
      <c r="C41" s="6"/>
      <c r="D41" s="12">
        <f>SUM(OSRRefD20x_0)</f>
        <v>96192.790000000037</v>
      </c>
      <c r="E41" s="12">
        <f>SUM(OSRRefD20x_1)</f>
        <v>98819.290000000008</v>
      </c>
      <c r="F41" s="12">
        <f>SUM(OSRRefD20x_2)</f>
        <v>85301.440000000017</v>
      </c>
      <c r="G41" s="12">
        <f>SUM(OSRRefD20x_3)</f>
        <v>105551.45000000001</v>
      </c>
      <c r="H41" s="12">
        <f>SUM(OSRRefD20x_4)</f>
        <v>80856.09</v>
      </c>
      <c r="I41" s="12">
        <f>SUM(OSRRefD20x_5)</f>
        <v>88551.7</v>
      </c>
      <c r="J41" s="12">
        <f>SUM(OSRRefE20x_0)</f>
        <v>127338.87842736537</v>
      </c>
      <c r="K41" s="12">
        <f>SUM(OSRRefE20x_1)</f>
        <v>101846.10274189233</v>
      </c>
      <c r="L41" s="12">
        <f>SUM(OSRRefE20x_2)</f>
        <v>99962.102741892333</v>
      </c>
      <c r="M41" s="12">
        <f>SUM(OSRRefE20x_3)</f>
        <v>134986.87842736539</v>
      </c>
      <c r="N41" s="12">
        <f>SUM(OSRRefE20x_4)</f>
        <v>101708.10274189233</v>
      </c>
      <c r="O41" s="12">
        <f>SUM(OSRRefE20x_5)</f>
        <v>100885.05380519232</v>
      </c>
      <c r="Q41" s="12">
        <f>SUM(OSRRefG20x)</f>
        <v>1221999.8788856003</v>
      </c>
    </row>
    <row r="42" spans="1:17" s="35" customFormat="1" collapsed="1" x14ac:dyDescent="0.3">
      <c r="A42" s="34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13678.2</v>
      </c>
      <c r="E42" s="1">
        <f>SUM(OSRRefD21_0x_1)</f>
        <v>15134.39</v>
      </c>
      <c r="F42" s="1">
        <f>SUM(OSRRefD21_0x_2)</f>
        <v>13393.95</v>
      </c>
      <c r="G42" s="1">
        <f>SUM(OSRRefD21_0x_3)</f>
        <v>17176.53</v>
      </c>
      <c r="H42" s="1">
        <f>SUM(OSRRefD21_0x_4)</f>
        <v>13383.269999999999</v>
      </c>
      <c r="I42" s="1">
        <f>SUM(OSRRefD21_0x_5)</f>
        <v>13303.839999999998</v>
      </c>
      <c r="J42" s="1">
        <f>SUM(OSRRefE21_0x_0)</f>
        <v>23816.346311980771</v>
      </c>
      <c r="K42" s="1">
        <f>SUM(OSRRefE21_0x_1)</f>
        <v>20295.277049584627</v>
      </c>
      <c r="L42" s="1">
        <f>SUM(OSRRefE21_0x_2)</f>
        <v>20295.277049584627</v>
      </c>
      <c r="M42" s="1">
        <f>SUM(OSRRefE21_0x_3)</f>
        <v>23816.346311980771</v>
      </c>
      <c r="N42" s="1">
        <f>SUM(OSRRefE21_0x_4)</f>
        <v>20295.277049584627</v>
      </c>
      <c r="O42" s="1">
        <f>SUM(OSRRefE21_0x_5)</f>
        <v>18217.228112884623</v>
      </c>
      <c r="Q42" s="2">
        <f>SUM(OSRRefD20_0x)+IFERROR(SUM(OSRRefE20_0x),0)</f>
        <v>212805.93188560003</v>
      </c>
    </row>
    <row r="43" spans="1:17" s="35" customFormat="1" hidden="1" outlineLevel="1" x14ac:dyDescent="0.3">
      <c r="A43" s="34"/>
      <c r="B43" s="10" t="str">
        <f>CONCATENATE("          ","6111", " - ","F.I.C.A.")</f>
        <v xml:space="preserve">          6111 - F.I.C.A.</v>
      </c>
      <c r="C43" s="14"/>
      <c r="D43" s="2">
        <v>3257.4</v>
      </c>
      <c r="E43" s="2">
        <v>4182.6899999999996</v>
      </c>
      <c r="F43" s="2">
        <v>2336.11</v>
      </c>
      <c r="G43" s="2">
        <v>3183.03</v>
      </c>
      <c r="H43" s="2">
        <v>2225.58</v>
      </c>
      <c r="I43" s="2">
        <v>2072.52</v>
      </c>
      <c r="J43" s="2">
        <v>6286.0661749615401</v>
      </c>
      <c r="K43" s="2">
        <v>5028.8529399692297</v>
      </c>
      <c r="L43" s="2">
        <v>5028.8529399692297</v>
      </c>
      <c r="M43" s="2">
        <v>6286.0661749615401</v>
      </c>
      <c r="N43" s="2">
        <v>5028.8529399692297</v>
      </c>
      <c r="O43" s="2">
        <v>2950.8040032692302</v>
      </c>
      <c r="P43" s="9"/>
      <c r="Q43" s="2">
        <f>SUM(OSRRefD21_0_0x)+IFERROR(SUM(OSRRefE21_0_0x),0)</f>
        <v>47866.825173100005</v>
      </c>
    </row>
    <row r="44" spans="1:17" s="35" customFormat="1" hidden="1" outlineLevel="1" x14ac:dyDescent="0.3">
      <c r="A44" s="34"/>
      <c r="B44" s="10" t="str">
        <f>CONCATENATE("          ","6112", " - ","COMPENSATION INSURANCE")</f>
        <v xml:space="preserve">          6112 - COMPENSATION INSURANCE</v>
      </c>
      <c r="C44" s="14"/>
      <c r="D44" s="2">
        <v>734.03</v>
      </c>
      <c r="E44" s="2">
        <v>929.2</v>
      </c>
      <c r="F44" s="2">
        <v>879.41</v>
      </c>
      <c r="G44" s="2">
        <v>1239.96</v>
      </c>
      <c r="H44" s="2">
        <v>815.52</v>
      </c>
      <c r="I44" s="2">
        <v>882.76</v>
      </c>
      <c r="J44" s="2">
        <v>1327.7448750000001</v>
      </c>
      <c r="K44" s="2">
        <v>1062.1958999999999</v>
      </c>
      <c r="L44" s="2">
        <v>1062.1958999999999</v>
      </c>
      <c r="M44" s="2">
        <v>1327.7448750000001</v>
      </c>
      <c r="N44" s="2">
        <v>1062.1958999999999</v>
      </c>
      <c r="O44" s="2">
        <v>1062.1958999999999</v>
      </c>
      <c r="P44" s="9"/>
      <c r="Q44" s="2">
        <f>SUM(OSRRefD21_0_1x)+IFERROR(SUM(OSRRefE21_0_1x),0)</f>
        <v>12385.153350000001</v>
      </c>
    </row>
    <row r="45" spans="1:17" s="35" customFormat="1" hidden="1" outlineLevel="1" x14ac:dyDescent="0.3">
      <c r="A45" s="34"/>
      <c r="B45" s="10" t="str">
        <f>CONCATENATE("          ","6113", " - ","GROUP INSURANCE")</f>
        <v xml:space="preserve">          6113 - GROUP INSURANCE</v>
      </c>
      <c r="C45" s="14"/>
      <c r="D45" s="2">
        <v>4811.13</v>
      </c>
      <c r="E45" s="2">
        <v>4811.13</v>
      </c>
      <c r="F45" s="2">
        <v>4844.88</v>
      </c>
      <c r="G45" s="2">
        <v>4811.13</v>
      </c>
      <c r="H45" s="2">
        <v>4811.13</v>
      </c>
      <c r="I45" s="2">
        <v>4811.13</v>
      </c>
      <c r="J45" s="2">
        <v>8382.1538461538494</v>
      </c>
      <c r="K45" s="2">
        <v>7772.9230769230799</v>
      </c>
      <c r="L45" s="2">
        <v>7772.9230769230799</v>
      </c>
      <c r="M45" s="2">
        <v>8382.1538461538494</v>
      </c>
      <c r="N45" s="2">
        <v>7772.9230769230799</v>
      </c>
      <c r="O45" s="2">
        <v>7772.9230769230799</v>
      </c>
      <c r="P45" s="9"/>
      <c r="Q45" s="2">
        <f>SUM(OSRRefD21_0_2x)+IFERROR(SUM(OSRRefE21_0_2x),0)</f>
        <v>76756.530000000013</v>
      </c>
    </row>
    <row r="46" spans="1:17" s="35" customFormat="1" hidden="1" outlineLevel="1" x14ac:dyDescent="0.3">
      <c r="A46" s="34"/>
      <c r="B46" s="10" t="str">
        <f>CONCATENATE("          ","6114", " - ","STATE UNEMPLOYMENT INSURANCE")</f>
        <v xml:space="preserve">          6114 - STATE UNEMPLOYMENT INSURANCE</v>
      </c>
      <c r="C46" s="14"/>
      <c r="D46" s="2">
        <v>128.94999999999999</v>
      </c>
      <c r="E46" s="2">
        <v>163.22999999999999</v>
      </c>
      <c r="F46" s="2">
        <v>154.49</v>
      </c>
      <c r="G46" s="2">
        <v>217.83</v>
      </c>
      <c r="H46" s="2">
        <v>143.27000000000001</v>
      </c>
      <c r="I46" s="2">
        <v>155.08000000000001</v>
      </c>
      <c r="J46" s="2">
        <v>178.734887019231</v>
      </c>
      <c r="K46" s="2">
        <v>142.98790961538501</v>
      </c>
      <c r="L46" s="2">
        <v>142.98790961538501</v>
      </c>
      <c r="M46" s="2">
        <v>178.734887019231</v>
      </c>
      <c r="N46" s="2">
        <v>142.98790961538501</v>
      </c>
      <c r="O46" s="2">
        <v>142.98790961538501</v>
      </c>
      <c r="P46" s="9"/>
      <c r="Q46" s="2">
        <f>SUM(OSRRefD21_0_3x)+IFERROR(SUM(OSRRefE21_0_3x),0)</f>
        <v>1892.271412500002</v>
      </c>
    </row>
    <row r="47" spans="1:17" s="35" customFormat="1" hidden="1" outlineLevel="1" x14ac:dyDescent="0.3">
      <c r="A47" s="34"/>
      <c r="B47" s="10" t="str">
        <f>CONCATENATE("          ","6115", " - ","P.E.R.S.")</f>
        <v xml:space="preserve">          6115 - P.E.R.S.</v>
      </c>
      <c r="C47" s="14"/>
      <c r="D47" s="2">
        <v>1579.48</v>
      </c>
      <c r="E47" s="2">
        <v>1579.48</v>
      </c>
      <c r="F47" s="2">
        <v>1579.48</v>
      </c>
      <c r="G47" s="2">
        <v>2369.23</v>
      </c>
      <c r="H47" s="2">
        <v>1642.66</v>
      </c>
      <c r="I47" s="2">
        <v>1642.66</v>
      </c>
      <c r="J47" s="2">
        <v>1766.6798076923101</v>
      </c>
      <c r="K47" s="2">
        <v>1413.3438461538501</v>
      </c>
      <c r="L47" s="2">
        <v>1413.3438461538501</v>
      </c>
      <c r="M47" s="2">
        <v>1766.6798076923101</v>
      </c>
      <c r="N47" s="2">
        <v>1413.3438461538501</v>
      </c>
      <c r="O47" s="2">
        <v>1413.3438461538501</v>
      </c>
      <c r="P47" s="9"/>
      <c r="Q47" s="2">
        <f>SUM(OSRRefD21_0_4x)+IFERROR(SUM(OSRRefE21_0_4x),0)</f>
        <v>19579.72500000002</v>
      </c>
    </row>
    <row r="48" spans="1:17" s="35" customFormat="1" hidden="1" outlineLevel="1" x14ac:dyDescent="0.3">
      <c r="A48" s="34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5" customFormat="1" hidden="1" outlineLevel="1" x14ac:dyDescent="0.3">
      <c r="A49" s="34"/>
      <c r="B49" s="10" t="str">
        <f>CONCATENATE("          ","6118", " - ","VACATION")</f>
        <v xml:space="preserve">          6118 - VACATION</v>
      </c>
      <c r="C49" s="14"/>
      <c r="D49" s="2">
        <v>1659.06</v>
      </c>
      <c r="E49" s="2">
        <v>1659.06</v>
      </c>
      <c r="F49" s="2">
        <v>1685.29</v>
      </c>
      <c r="G49" s="2">
        <v>2567.2800000000002</v>
      </c>
      <c r="H49" s="2">
        <v>1780</v>
      </c>
      <c r="I49" s="2">
        <v>1780</v>
      </c>
      <c r="J49" s="2">
        <v>1542.1394230769199</v>
      </c>
      <c r="K49" s="2">
        <v>1233.7115384615399</v>
      </c>
      <c r="L49" s="2">
        <v>1233.7115384615399</v>
      </c>
      <c r="M49" s="2">
        <v>1542.1394230769199</v>
      </c>
      <c r="N49" s="2">
        <v>1233.7115384615399</v>
      </c>
      <c r="O49" s="2">
        <v>1233.7115384615399</v>
      </c>
      <c r="P49" s="9"/>
      <c r="Q49" s="2">
        <f>SUM(OSRRefD21_0_6x)+IFERROR(SUM(OSRRefE21_0_6x),0)</f>
        <v>19149.815000000002</v>
      </c>
    </row>
    <row r="50" spans="1:17" s="35" customFormat="1" hidden="1" outlineLevel="1" x14ac:dyDescent="0.3">
      <c r="A50" s="34"/>
      <c r="B50" s="10" t="str">
        <f>CONCATENATE("          ","6119", " - ","SICK LEAVE")</f>
        <v xml:space="preserve">          6119 - SICK LEAVE</v>
      </c>
      <c r="C50" s="14"/>
      <c r="D50" s="2">
        <v>1120.42</v>
      </c>
      <c r="E50" s="2">
        <v>1120.42</v>
      </c>
      <c r="F50" s="2">
        <v>1120.42</v>
      </c>
      <c r="G50" s="2">
        <v>1680.63</v>
      </c>
      <c r="H50" s="2">
        <v>1165.22</v>
      </c>
      <c r="I50" s="2">
        <v>1165.22</v>
      </c>
      <c r="J50" s="2">
        <v>3457.8272980769202</v>
      </c>
      <c r="K50" s="2">
        <v>2766.2618384615398</v>
      </c>
      <c r="L50" s="2">
        <v>2766.2618384615398</v>
      </c>
      <c r="M50" s="2">
        <v>3457.8272980769202</v>
      </c>
      <c r="N50" s="2">
        <v>2766.2618384615398</v>
      </c>
      <c r="O50" s="2">
        <v>2766.2618384615398</v>
      </c>
      <c r="P50" s="9"/>
      <c r="Q50" s="2">
        <f>SUM(OSRRefD21_0_7x)+IFERROR(SUM(OSRRefE21_0_7x),0)</f>
        <v>25353.031950000001</v>
      </c>
    </row>
    <row r="51" spans="1:17" s="35" customFormat="1" hidden="1" outlineLevel="1" x14ac:dyDescent="0.3">
      <c r="A51" s="34"/>
      <c r="B51" s="10" t="str">
        <f>CONCATENATE("          ","6156", " - ","EMPLOYEE MEALS")</f>
        <v xml:space="preserve">          6156 - EMPLOYEE MEALS</v>
      </c>
      <c r="C51" s="14"/>
      <c r="D51" s="2">
        <v>387.73</v>
      </c>
      <c r="E51" s="2">
        <v>689.18</v>
      </c>
      <c r="F51" s="2">
        <v>793.87</v>
      </c>
      <c r="G51" s="2">
        <v>1107.44</v>
      </c>
      <c r="H51" s="2">
        <v>799.89</v>
      </c>
      <c r="I51" s="2">
        <v>794.47</v>
      </c>
      <c r="J51" s="2">
        <v>875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9822.58</v>
      </c>
    </row>
    <row r="52" spans="1:17" s="35" customFormat="1" collapsed="1" x14ac:dyDescent="0.3">
      <c r="A52" s="34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59216.320000000007</v>
      </c>
      <c r="E52" s="1">
        <f>SUM(OSRRefD21_1x_1)</f>
        <v>66607.640000000014</v>
      </c>
      <c r="F52" s="1">
        <f>SUM(OSRRefD21_1x_2)</f>
        <v>59644.810000000005</v>
      </c>
      <c r="G52" s="1">
        <f>SUM(OSRRefD21_1x_3)</f>
        <v>64816.81</v>
      </c>
      <c r="H52" s="1">
        <f>SUM(OSRRefD21_1x_4)</f>
        <v>53645.79</v>
      </c>
      <c r="I52" s="1">
        <f>SUM(OSRRefD21_1x_5)</f>
        <v>59611.81</v>
      </c>
      <c r="J52" s="1">
        <f>SUM(OSRRefE21_1x_0)</f>
        <v>81308.532115384602</v>
      </c>
      <c r="K52" s="1">
        <f>SUM(OSRRefE21_1x_1)</f>
        <v>65046.825692307699</v>
      </c>
      <c r="L52" s="1">
        <f>SUM(OSRRefE21_1x_2)</f>
        <v>65046.825692307699</v>
      </c>
      <c r="M52" s="1">
        <f>SUM(OSRRefE21_1x_3)</f>
        <v>81308.532115384602</v>
      </c>
      <c r="N52" s="1">
        <f>SUM(OSRRefE21_1x_4)</f>
        <v>65046.825692307699</v>
      </c>
      <c r="O52" s="1">
        <f>SUM(OSRRefE21_1x_5)</f>
        <v>65046.825692307699</v>
      </c>
      <c r="Q52" s="2">
        <f>SUM(OSRRefD20_1x)+IFERROR(SUM(OSRRefE20_1x),0)</f>
        <v>786347.54700000002</v>
      </c>
    </row>
    <row r="53" spans="1:17" s="35" customFormat="1" hidden="1" outlineLevel="1" x14ac:dyDescent="0.3">
      <c r="A53" s="34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5" customFormat="1" hidden="1" outlineLevel="1" x14ac:dyDescent="0.3">
      <c r="A54" s="34"/>
      <c r="B54" s="10" t="str">
        <f>CONCATENATE("          ","6002", " - ","STAFF SALARIES")</f>
        <v xml:space="preserve">          6002 - STAFF SALARIES</v>
      </c>
      <c r="C54" s="14"/>
      <c r="D54" s="2">
        <v>17125.82</v>
      </c>
      <c r="E54" s="2">
        <v>17127.64</v>
      </c>
      <c r="F54" s="2">
        <v>17490.93</v>
      </c>
      <c r="G54" s="2">
        <v>16163.64</v>
      </c>
      <c r="H54" s="2">
        <v>15374.72</v>
      </c>
      <c r="I54" s="2">
        <v>16571.2</v>
      </c>
      <c r="J54" s="2">
        <v>18488.509615384599</v>
      </c>
      <c r="K54" s="2">
        <v>14790.807692307701</v>
      </c>
      <c r="L54" s="2">
        <v>14790.807692307701</v>
      </c>
      <c r="M54" s="2">
        <v>18488.509615384599</v>
      </c>
      <c r="N54" s="2">
        <v>14790.807692307701</v>
      </c>
      <c r="O54" s="2">
        <v>14790.807692307701</v>
      </c>
      <c r="P54" s="9"/>
      <c r="Q54" s="2">
        <f>SUM(OSRRefD21_1_1x)+IFERROR(SUM(OSRRefE21_1_1x),0)</f>
        <v>195994.2</v>
      </c>
    </row>
    <row r="55" spans="1:17" s="35" customFormat="1" hidden="1" outlineLevel="1" x14ac:dyDescent="0.3">
      <c r="A55" s="34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/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5" customFormat="1" hidden="1" outlineLevel="1" x14ac:dyDescent="0.3">
      <c r="A56" s="34"/>
      <c r="B56" s="10" t="str">
        <f>CONCATENATE("          ","6004", " - ","STAFF HOURLY")</f>
        <v xml:space="preserve">          6004 - STAFF HOURLY</v>
      </c>
      <c r="C56" s="14"/>
      <c r="D56" s="2">
        <v>8345.83</v>
      </c>
      <c r="E56" s="2">
        <v>8099.25</v>
      </c>
      <c r="F56" s="2">
        <v>8783.39</v>
      </c>
      <c r="G56" s="2">
        <v>12445.29</v>
      </c>
      <c r="H56" s="2">
        <v>8117.76</v>
      </c>
      <c r="I56" s="2">
        <v>7713.05</v>
      </c>
      <c r="J56" s="2">
        <v>22931.759999999998</v>
      </c>
      <c r="K56" s="2">
        <v>18345.407999999999</v>
      </c>
      <c r="L56" s="2">
        <v>18345.407999999999</v>
      </c>
      <c r="M56" s="2">
        <v>22931.759999999998</v>
      </c>
      <c r="N56" s="2">
        <v>18345.407999999999</v>
      </c>
      <c r="O56" s="2">
        <v>18345.407999999999</v>
      </c>
      <c r="P56" s="9"/>
      <c r="Q56" s="2">
        <f>SUM(OSRRefD21_1_3x)+IFERROR(SUM(OSRRefE21_1_3x),0)</f>
        <v>172749.72200000001</v>
      </c>
    </row>
    <row r="57" spans="1:17" s="35" customFormat="1" hidden="1" outlineLevel="1" x14ac:dyDescent="0.3">
      <c r="A57" s="34"/>
      <c r="B57" s="10" t="str">
        <f>CONCATENATE("          ","6005", " - ","TEMPORARY WAGES-HOURLY")</f>
        <v xml:space="preserve">          6005 - TEMPORARY WAGES-HOURLY</v>
      </c>
      <c r="C57" s="14"/>
      <c r="D57" s="2">
        <v>3365.77</v>
      </c>
      <c r="E57" s="2">
        <v>3244.26</v>
      </c>
      <c r="F57" s="2">
        <v>3686.9</v>
      </c>
      <c r="G57" s="2">
        <v>4318.3599999999997</v>
      </c>
      <c r="H57" s="2">
        <v>3232.62</v>
      </c>
      <c r="I57" s="2">
        <v>2228.7399999999998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20076.650000000001</v>
      </c>
    </row>
    <row r="58" spans="1:17" s="35" customFormat="1" hidden="1" outlineLevel="1" x14ac:dyDescent="0.3">
      <c r="A58" s="34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5" customFormat="1" hidden="1" outlineLevel="1" x14ac:dyDescent="0.3">
      <c r="A59" s="34"/>
      <c r="B59" s="10" t="str">
        <f>CONCATENATE("          ","6007", " - ","STUDENT HOURLY")</f>
        <v xml:space="preserve">          6007 - STUDENT HOURLY</v>
      </c>
      <c r="C59" s="14"/>
      <c r="D59" s="2">
        <v>22560.71</v>
      </c>
      <c r="E59" s="2">
        <v>28817.95</v>
      </c>
      <c r="F59" s="2">
        <v>24317.52</v>
      </c>
      <c r="G59" s="2">
        <v>24865.86</v>
      </c>
      <c r="H59" s="2">
        <v>21401.58</v>
      </c>
      <c r="I59" s="2">
        <v>28181.46</v>
      </c>
      <c r="J59" s="2">
        <v>36915</v>
      </c>
      <c r="K59" s="2">
        <v>29532</v>
      </c>
      <c r="L59" s="2">
        <v>29532</v>
      </c>
      <c r="M59" s="2">
        <v>36915</v>
      </c>
      <c r="N59" s="2">
        <v>29532</v>
      </c>
      <c r="O59" s="2">
        <v>2378.61</v>
      </c>
      <c r="P59" s="9"/>
      <c r="Q59" s="2">
        <f>SUM(OSRRefD21_1_6x)+IFERROR(SUM(OSRRefE21_1_6x),0)</f>
        <v>314949.69</v>
      </c>
    </row>
    <row r="60" spans="1:17" s="35" customFormat="1" hidden="1" outlineLevel="1" x14ac:dyDescent="0.3">
      <c r="A60" s="34"/>
      <c r="B60" s="10" t="str">
        <f>CONCATENATE("          ","6008", " - ","STUDENT HOURLY-FICA EXEMPT")</f>
        <v xml:space="preserve">          6008 - STUDENT HOURLY-FICA EXEMPT</v>
      </c>
      <c r="C60" s="14"/>
      <c r="D60" s="2">
        <v>7818.19</v>
      </c>
      <c r="E60" s="2">
        <v>9318.5400000000009</v>
      </c>
      <c r="F60" s="2">
        <v>5366.07</v>
      </c>
      <c r="G60" s="2">
        <v>7023.66</v>
      </c>
      <c r="H60" s="2">
        <v>5519.11</v>
      </c>
      <c r="I60" s="2">
        <v>4917.3599999999997</v>
      </c>
      <c r="J60" s="2">
        <v>2973.2624999999998</v>
      </c>
      <c r="K60" s="2">
        <v>2378.61</v>
      </c>
      <c r="L60" s="2">
        <v>2378.61</v>
      </c>
      <c r="M60" s="2">
        <v>2973.2624999999998</v>
      </c>
      <c r="N60" s="2">
        <v>2378.61</v>
      </c>
      <c r="O60" s="2">
        <v>29532</v>
      </c>
      <c r="P60" s="9"/>
      <c r="Q60" s="2">
        <f>SUM(OSRRefD21_1_7x)+IFERROR(SUM(OSRRefE21_1_7x),0)</f>
        <v>82577.285000000003</v>
      </c>
    </row>
    <row r="61" spans="1:17" s="35" customFormat="1" hidden="1" outlineLevel="1" x14ac:dyDescent="0.3">
      <c r="A61" s="34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5" customFormat="1" hidden="1" outlineLevel="1" x14ac:dyDescent="0.3">
      <c r="A62" s="34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5" customFormat="1" collapsed="1" x14ac:dyDescent="0.3">
      <c r="A63" s="34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393.63</v>
      </c>
      <c r="E63" s="1">
        <f>SUM(OSRRefD21_2x_1)</f>
        <v>1263.1199999999999</v>
      </c>
      <c r="F63" s="1">
        <f>SUM(OSRRefD21_2x_2)</f>
        <v>110.26</v>
      </c>
      <c r="G63" s="1">
        <f>SUM(OSRRefD21_2x_3)</f>
        <v>723.37</v>
      </c>
      <c r="H63" s="1">
        <f>SUM(OSRRefD21_2x_4)</f>
        <v>662.42</v>
      </c>
      <c r="I63" s="1">
        <f>SUM(OSRRefD21_2x_5)</f>
        <v>158.76</v>
      </c>
      <c r="J63" s="1">
        <f>SUM(OSRRefE21_2x_0)</f>
        <v>100</v>
      </c>
      <c r="K63" s="1">
        <f>SUM(OSRRefE21_2x_1)</f>
        <v>100</v>
      </c>
      <c r="L63" s="1">
        <f>SUM(OSRRefE21_2x_2)</f>
        <v>100</v>
      </c>
      <c r="M63" s="1">
        <f>SUM(OSRRefE21_2x_3)</f>
        <v>100</v>
      </c>
      <c r="N63" s="1">
        <f>SUM(OSRRefE21_2x_4)</f>
        <v>100</v>
      </c>
      <c r="O63" s="1">
        <f>SUM(OSRRefE21_2x_5)</f>
        <v>100</v>
      </c>
      <c r="Q63" s="2">
        <f>SUM(OSRRefD20_2x)+IFERROR(SUM(OSRRefE20_2x),0)</f>
        <v>3911.5600000000004</v>
      </c>
    </row>
    <row r="64" spans="1:17" s="35" customFormat="1" hidden="1" outlineLevel="1" x14ac:dyDescent="0.3">
      <c r="A64" s="34"/>
      <c r="B64" s="10" t="str">
        <f>CONCATENATE("          ","6362", " - ","ADVERTISING EXPENSE")</f>
        <v xml:space="preserve">          6362 - ADVERTISING EXPENSE</v>
      </c>
      <c r="C64" s="14"/>
      <c r="D64" s="2">
        <v>393.63</v>
      </c>
      <c r="E64" s="2">
        <v>1263.1199999999999</v>
      </c>
      <c r="F64" s="2">
        <v>110.26</v>
      </c>
      <c r="G64" s="2">
        <v>723.37</v>
      </c>
      <c r="H64" s="2">
        <v>662.42</v>
      </c>
      <c r="I64" s="2">
        <v>158.76</v>
      </c>
      <c r="J64" s="2">
        <v>100</v>
      </c>
      <c r="K64" s="2">
        <v>100</v>
      </c>
      <c r="L64" s="2">
        <v>100</v>
      </c>
      <c r="M64" s="2">
        <v>100</v>
      </c>
      <c r="N64" s="2">
        <v>100</v>
      </c>
      <c r="O64" s="2">
        <v>100</v>
      </c>
      <c r="P64" s="9"/>
      <c r="Q64" s="2">
        <f>SUM(OSRRefD21_2_0x)+IFERROR(SUM(OSRRefE21_2_0x),0)</f>
        <v>3911.5600000000004</v>
      </c>
    </row>
    <row r="65" spans="1:17" s="35" customFormat="1" collapsed="1" x14ac:dyDescent="0.3">
      <c r="A65" s="34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0.6</v>
      </c>
      <c r="E65" s="1">
        <f>SUM(OSRRefD21_3x_1)</f>
        <v>7.0000000000000007E-2</v>
      </c>
      <c r="F65" s="1">
        <f>SUM(OSRRefD21_3x_2)</f>
        <v>1.03</v>
      </c>
      <c r="G65" s="1">
        <f>SUM(OSRRefD21_3x_3)</f>
        <v>-10.06</v>
      </c>
      <c r="H65" s="1">
        <f>SUM(OSRRefD21_3x_4)</f>
        <v>-0.66</v>
      </c>
      <c r="I65" s="1">
        <f>SUM(OSRRefD21_3x_5)</f>
        <v>-1.01</v>
      </c>
      <c r="J65" s="1">
        <f>SUM(OSRRefE21_3x_0)</f>
        <v>10</v>
      </c>
      <c r="K65" s="1">
        <f>SUM(OSRRefE21_3x_1)</f>
        <v>10</v>
      </c>
      <c r="L65" s="1">
        <f>SUM(OSRRefE21_3x_2)</f>
        <v>10</v>
      </c>
      <c r="M65" s="1">
        <f>SUM(OSRRefE21_3x_3)</f>
        <v>10</v>
      </c>
      <c r="N65" s="1">
        <f>SUM(OSRRefE21_3x_4)</f>
        <v>10</v>
      </c>
      <c r="O65" s="1">
        <f>SUM(OSRRefE21_3x_5)</f>
        <v>10</v>
      </c>
      <c r="Q65" s="2">
        <f>SUM(OSRRefD20_3x)+IFERROR(SUM(OSRRefE20_3x),0)</f>
        <v>49.97</v>
      </c>
    </row>
    <row r="66" spans="1:17" s="35" customFormat="1" hidden="1" outlineLevel="1" x14ac:dyDescent="0.3">
      <c r="A66" s="34"/>
      <c r="B66" s="10" t="str">
        <f>CONCATENATE("          ","6272", " - ","CASH (OVER/SHORT)")</f>
        <v xml:space="preserve">          6272 - CASH (OVER/SHORT)</v>
      </c>
      <c r="C66" s="14"/>
      <c r="D66" s="2">
        <v>0.6</v>
      </c>
      <c r="E66" s="2">
        <v>7.0000000000000007E-2</v>
      </c>
      <c r="F66" s="2">
        <v>1.03</v>
      </c>
      <c r="G66" s="2">
        <v>-10.06</v>
      </c>
      <c r="H66" s="2">
        <v>-0.66</v>
      </c>
      <c r="I66" s="2">
        <v>-1.01</v>
      </c>
      <c r="J66" s="2">
        <v>10</v>
      </c>
      <c r="K66" s="2">
        <v>10</v>
      </c>
      <c r="L66" s="2">
        <v>10</v>
      </c>
      <c r="M66" s="2">
        <v>10</v>
      </c>
      <c r="N66" s="2">
        <v>10</v>
      </c>
      <c r="O66" s="2">
        <v>10</v>
      </c>
      <c r="P66" s="9"/>
      <c r="Q66" s="2">
        <f>SUM(OSRRefD21_3_0x)+IFERROR(SUM(OSRRefE21_3_0x),0)</f>
        <v>49.97</v>
      </c>
    </row>
    <row r="67" spans="1:17" s="35" customFormat="1" collapsed="1" x14ac:dyDescent="0.3">
      <c r="A67" s="34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492.32</v>
      </c>
      <c r="E67" s="1">
        <f>SUM(OSRRefD21_4x_1)</f>
        <v>614.21</v>
      </c>
      <c r="F67" s="1">
        <f>SUM(OSRRefD21_4x_2)</f>
        <v>395.45</v>
      </c>
      <c r="G67" s="1">
        <f>SUM(OSRRefD21_4x_3)</f>
        <v>419.96</v>
      </c>
      <c r="H67" s="1">
        <f>SUM(OSRRefD21_4x_4)</f>
        <v>552.5</v>
      </c>
      <c r="I67" s="1">
        <f>SUM(OSRRefD21_4x_5)</f>
        <v>1000.14</v>
      </c>
      <c r="J67" s="1">
        <f>SUM(OSRRefE21_4x_0)</f>
        <v>417</v>
      </c>
      <c r="K67" s="1">
        <f>SUM(OSRRefE21_4x_1)</f>
        <v>457</v>
      </c>
      <c r="L67" s="1">
        <f>SUM(OSRRefE21_4x_2)</f>
        <v>534</v>
      </c>
      <c r="M67" s="1">
        <f>SUM(OSRRefE21_4x_3)</f>
        <v>1188</v>
      </c>
      <c r="N67" s="1">
        <f>SUM(OSRRefE21_4x_4)</f>
        <v>1229</v>
      </c>
      <c r="O67" s="1">
        <f>SUM(OSRRefE21_4x_5)</f>
        <v>1118</v>
      </c>
      <c r="Q67" s="2">
        <f>SUM(OSRRefD20_4x)+IFERROR(SUM(OSRRefE20_4x),0)</f>
        <v>8417.58</v>
      </c>
    </row>
    <row r="68" spans="1:17" s="35" customFormat="1" hidden="1" outlineLevel="1" x14ac:dyDescent="0.3">
      <c r="A68" s="34"/>
      <c r="B68" s="10" t="str">
        <f>CONCATENATE("          ","6381", " - ","BANK/CREDIT CARD FEES")</f>
        <v xml:space="preserve">          6381 - BANK/CREDIT CARD FEES</v>
      </c>
      <c r="C68" s="14"/>
      <c r="D68" s="2">
        <v>492.32</v>
      </c>
      <c r="E68" s="2">
        <v>614.21</v>
      </c>
      <c r="F68" s="2">
        <v>395.45</v>
      </c>
      <c r="G68" s="2">
        <v>419.96</v>
      </c>
      <c r="H68" s="2">
        <v>552.5</v>
      </c>
      <c r="I68" s="2">
        <v>1000.14</v>
      </c>
      <c r="J68" s="2">
        <v>417</v>
      </c>
      <c r="K68" s="2">
        <v>457</v>
      </c>
      <c r="L68" s="2">
        <v>534</v>
      </c>
      <c r="M68" s="2">
        <v>1188</v>
      </c>
      <c r="N68" s="2">
        <v>1229</v>
      </c>
      <c r="O68" s="2">
        <v>1118</v>
      </c>
      <c r="P68" s="9"/>
      <c r="Q68" s="2">
        <f>SUM(OSRRefD21_4_0x)+IFERROR(SUM(OSRRefE21_4_0x),0)</f>
        <v>8417.58</v>
      </c>
    </row>
    <row r="69" spans="1:17" s="35" customFormat="1" collapsed="1" x14ac:dyDescent="0.3">
      <c r="A69" s="34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SUM(OSRRefD21_5x_4)</f>
        <v>0</v>
      </c>
      <c r="I69" s="1">
        <f>SUM(OSRRefD21_5x_5)</f>
        <v>0</v>
      </c>
      <c r="J69" s="1">
        <f>SUM(OSRRefE21_5x_0)</f>
        <v>0</v>
      </c>
      <c r="K69" s="1">
        <f>SUM(OSRRefE21_5x_1)</f>
        <v>0</v>
      </c>
      <c r="L69" s="1">
        <f>SUM(OSRRefE21_5x_2)</f>
        <v>0</v>
      </c>
      <c r="M69" s="1">
        <f>SUM(OSRRefE21_5x_3)</f>
        <v>0</v>
      </c>
      <c r="N69" s="1">
        <f>SUM(OSRRefE21_5x_4)</f>
        <v>0</v>
      </c>
      <c r="O69" s="1">
        <f>SUM(OSRRefE21_5x_5)</f>
        <v>0</v>
      </c>
      <c r="Q69" s="2">
        <f>SUM(OSRRefD20_5x)+IFERROR(SUM(OSRRefE20_5x),0)</f>
        <v>0</v>
      </c>
    </row>
    <row r="70" spans="1:17" s="35" customFormat="1" hidden="1" outlineLevel="1" x14ac:dyDescent="0.3">
      <c r="A70" s="34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5" customFormat="1" collapsed="1" x14ac:dyDescent="0.3">
      <c r="A71" s="34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SUM(OSRRefD21_6x_4)</f>
        <v>0</v>
      </c>
      <c r="I71" s="1">
        <f>SUM(OSRRefD21_6x_5)</f>
        <v>0</v>
      </c>
      <c r="J71" s="1">
        <f>SUM(OSRRefE21_6x_0)</f>
        <v>75</v>
      </c>
      <c r="K71" s="1">
        <f>SUM(OSRRefE21_6x_1)</f>
        <v>75</v>
      </c>
      <c r="L71" s="1">
        <f>SUM(OSRRefE21_6x_2)</f>
        <v>75</v>
      </c>
      <c r="M71" s="1">
        <f>SUM(OSRRefE21_6x_3)</f>
        <v>75</v>
      </c>
      <c r="N71" s="1">
        <f>SUM(OSRRefE21_6x_4)</f>
        <v>75</v>
      </c>
      <c r="O71" s="1">
        <f>SUM(OSRRefE21_6x_5)</f>
        <v>75</v>
      </c>
      <c r="Q71" s="2">
        <f>SUM(OSRRefD20_6x)+IFERROR(SUM(OSRRefE20_6x),0)</f>
        <v>666.44</v>
      </c>
    </row>
    <row r="72" spans="1:17" s="35" customFormat="1" hidden="1" outlineLevel="1" x14ac:dyDescent="0.3">
      <c r="A72" s="34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/>
      <c r="I72" s="2"/>
      <c r="J72" s="2">
        <v>75</v>
      </c>
      <c r="K72" s="2">
        <v>75</v>
      </c>
      <c r="L72" s="2">
        <v>75</v>
      </c>
      <c r="M72" s="2">
        <v>75</v>
      </c>
      <c r="N72" s="2">
        <v>75</v>
      </c>
      <c r="O72" s="2">
        <v>75</v>
      </c>
      <c r="P72" s="9"/>
      <c r="Q72" s="2">
        <f>SUM(OSRRefD21_6_0x)+IFERROR(SUM(OSRRefE21_6_0x),0)</f>
        <v>666.44</v>
      </c>
    </row>
    <row r="73" spans="1:17" s="35" customFormat="1" collapsed="1" x14ac:dyDescent="0.3">
      <c r="A73" s="34"/>
      <c r="B73" s="14" t="str">
        <f>CONCATENATE("     ","Equipment Rental                                  ")</f>
        <v xml:space="preserve">     Equipment Rental                                  </v>
      </c>
      <c r="C73" s="14"/>
      <c r="D73" s="1">
        <f>SUM(OSRRefD21_7x_0)</f>
        <v>0</v>
      </c>
      <c r="E73" s="1">
        <f>SUM(OSRRefD21_7x_1)</f>
        <v>0</v>
      </c>
      <c r="F73" s="1">
        <f>SUM(OSRRefD21_7x_2)</f>
        <v>0</v>
      </c>
      <c r="G73" s="1">
        <f>SUM(OSRRefD21_7x_3)</f>
        <v>0</v>
      </c>
      <c r="H73" s="1">
        <f>SUM(OSRRefD21_7x_4)</f>
        <v>0</v>
      </c>
      <c r="I73" s="1">
        <f>SUM(OSRRefD21_7x_5)</f>
        <v>118.91</v>
      </c>
      <c r="J73" s="1">
        <f>SUM(OSRRefE21_7x_0)</f>
        <v>0</v>
      </c>
      <c r="K73" s="1">
        <f>SUM(OSRRefE21_7x_1)</f>
        <v>0</v>
      </c>
      <c r="L73" s="1">
        <f>SUM(OSRRefE21_7x_2)</f>
        <v>0</v>
      </c>
      <c r="M73" s="1">
        <f>SUM(OSRRefE21_7x_3)</f>
        <v>0</v>
      </c>
      <c r="N73" s="1">
        <f>SUM(OSRRefE21_7x_4)</f>
        <v>0</v>
      </c>
      <c r="O73" s="1">
        <f>SUM(OSRRefE21_7x_5)</f>
        <v>0</v>
      </c>
      <c r="Q73" s="2">
        <f>SUM(OSRRefD20_7x)+IFERROR(SUM(OSRRefE20_7x),0)</f>
        <v>118.91</v>
      </c>
    </row>
    <row r="74" spans="1:17" s="35" customFormat="1" hidden="1" outlineLevel="1" x14ac:dyDescent="0.3">
      <c r="A74" s="34"/>
      <c r="B74" s="10" t="str">
        <f>CONCATENATE("          ","6351", " - ","EQUIPMENT RENTAL")</f>
        <v xml:space="preserve">          6351 - EQUIPMENT RENTAL</v>
      </c>
      <c r="C74" s="14"/>
      <c r="D74" s="2"/>
      <c r="E74" s="2"/>
      <c r="F74" s="2"/>
      <c r="G74" s="2"/>
      <c r="H74" s="2"/>
      <c r="I74" s="2">
        <v>118.91</v>
      </c>
      <c r="J74" s="2"/>
      <c r="K74" s="2"/>
      <c r="L74" s="2"/>
      <c r="M74" s="2"/>
      <c r="N74" s="2"/>
      <c r="O74" s="2"/>
      <c r="P74" s="9"/>
      <c r="Q74" s="2">
        <f>SUM(OSRRefD21_7_0x)+IFERROR(SUM(OSRRefE21_7_0x),0)</f>
        <v>118.91</v>
      </c>
    </row>
    <row r="75" spans="1:17" s="35" customFormat="1" collapsed="1" x14ac:dyDescent="0.3">
      <c r="A75" s="34"/>
      <c r="B75" s="14" t="str">
        <f>CONCATENATE("     ","Freight out/Postage                               ")</f>
        <v xml:space="preserve">     Freight out/Postage                               </v>
      </c>
      <c r="C75" s="14"/>
      <c r="D75" s="1">
        <f>SUM(OSRRefD21_8x_0)</f>
        <v>857.13</v>
      </c>
      <c r="E75" s="1">
        <f>SUM(OSRRefD21_8x_1)</f>
        <v>16.16</v>
      </c>
      <c r="F75" s="1">
        <f>SUM(OSRRefD21_8x_2)</f>
        <v>32.659999999999997</v>
      </c>
      <c r="G75" s="1">
        <f>SUM(OSRRefD21_8x_3)</f>
        <v>19.82</v>
      </c>
      <c r="H75" s="1">
        <f>SUM(OSRRefD21_8x_4)</f>
        <v>3.52</v>
      </c>
      <c r="I75" s="1">
        <f>SUM(OSRRefD21_8x_5)</f>
        <v>0</v>
      </c>
      <c r="J75" s="1">
        <f>SUM(OSRRefE21_8x_0)</f>
        <v>50</v>
      </c>
      <c r="K75" s="1">
        <f>SUM(OSRRefE21_8x_1)</f>
        <v>50</v>
      </c>
      <c r="L75" s="1">
        <f>SUM(OSRRefE21_8x_2)</f>
        <v>50</v>
      </c>
      <c r="M75" s="1">
        <f>SUM(OSRRefE21_8x_3)</f>
        <v>50</v>
      </c>
      <c r="N75" s="1">
        <f>SUM(OSRRefE21_8x_4)</f>
        <v>50</v>
      </c>
      <c r="O75" s="1">
        <f>SUM(OSRRefE21_8x_5)</f>
        <v>50</v>
      </c>
      <c r="Q75" s="2">
        <f>SUM(OSRRefD20_8x)+IFERROR(SUM(OSRRefE20_8x),0)</f>
        <v>1229.29</v>
      </c>
    </row>
    <row r="76" spans="1:17" s="35" customFormat="1" hidden="1" outlineLevel="1" x14ac:dyDescent="0.3">
      <c r="A76" s="34"/>
      <c r="B76" s="10" t="str">
        <f>CONCATENATE("          ","6305", " - ","FREIGHT OUT")</f>
        <v xml:space="preserve">          6305 - FREIGHT OUT</v>
      </c>
      <c r="C76" s="14"/>
      <c r="D76" s="2">
        <v>845.71</v>
      </c>
      <c r="E76" s="2">
        <v>16.16</v>
      </c>
      <c r="F76" s="2">
        <v>8.66</v>
      </c>
      <c r="G76" s="2">
        <v>19.82</v>
      </c>
      <c r="H76" s="2">
        <v>3.52</v>
      </c>
      <c r="I76" s="2"/>
      <c r="J76" s="2">
        <v>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SUM(OSRRefD21_8_0x)+IFERROR(SUM(OSRRefE21_8_0x),0)</f>
        <v>1193.8699999999999</v>
      </c>
    </row>
    <row r="77" spans="1:17" s="35" customFormat="1" hidden="1" outlineLevel="1" x14ac:dyDescent="0.3">
      <c r="A77" s="34"/>
      <c r="B77" s="10" t="str">
        <f>CONCATENATE("          ","6307", " - ","POSTAGE")</f>
        <v xml:space="preserve">          6307 - POSTAGE</v>
      </c>
      <c r="C77" s="14"/>
      <c r="D77" s="2">
        <v>11.42</v>
      </c>
      <c r="E77" s="2"/>
      <c r="F77" s="2">
        <v>24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SUM(OSRRefD21_8_1x)+IFERROR(SUM(OSRRefE21_8_1x),0)</f>
        <v>35.42</v>
      </c>
    </row>
    <row r="78" spans="1:17" s="35" customFormat="1" collapsed="1" x14ac:dyDescent="0.3">
      <c r="A78" s="34"/>
      <c r="B78" s="14" t="str">
        <f>CONCATENATE("     ","General                                           ")</f>
        <v xml:space="preserve">     General                                           </v>
      </c>
      <c r="C78" s="14"/>
      <c r="D78" s="1">
        <f>SUM(OSRRefD21_9x_0)</f>
        <v>0</v>
      </c>
      <c r="E78" s="1">
        <f>SUM(OSRRefD21_9x_1)</f>
        <v>0</v>
      </c>
      <c r="F78" s="1">
        <f>SUM(OSRRefD21_9x_2)</f>
        <v>0</v>
      </c>
      <c r="G78" s="1">
        <f>SUM(OSRRefD21_9x_3)</f>
        <v>0</v>
      </c>
      <c r="H78" s="1">
        <f>SUM(OSRRefD21_9x_4)</f>
        <v>1135.0899999999999</v>
      </c>
      <c r="I78" s="1">
        <f>SUM(OSRRefD21_9x_5)</f>
        <v>160</v>
      </c>
      <c r="J78" s="1">
        <f>SUM(OSRRefE21_9x_0)</f>
        <v>0</v>
      </c>
      <c r="K78" s="1">
        <f>SUM(OSRRefE21_9x_1)</f>
        <v>0</v>
      </c>
      <c r="L78" s="1">
        <f>SUM(OSRRefE21_9x_2)</f>
        <v>0</v>
      </c>
      <c r="M78" s="1">
        <f>SUM(OSRRefE21_9x_3)</f>
        <v>0</v>
      </c>
      <c r="N78" s="1">
        <f>SUM(OSRRefE21_9x_4)</f>
        <v>0</v>
      </c>
      <c r="O78" s="1">
        <f>SUM(OSRRefE21_9x_5)</f>
        <v>1000</v>
      </c>
      <c r="Q78" s="2">
        <f>SUM(OSRRefD20_9x)+IFERROR(SUM(OSRRefE20_9x),0)</f>
        <v>2295.09</v>
      </c>
    </row>
    <row r="79" spans="1:17" s="35" customFormat="1" hidden="1" outlineLevel="1" x14ac:dyDescent="0.3">
      <c r="A79" s="34"/>
      <c r="B79" s="10" t="str">
        <f>CONCATENATE("          ","6279", " - ","GENERAL EXPENSE")</f>
        <v xml:space="preserve">          6279 - GENERAL EXPENSE</v>
      </c>
      <c r="C79" s="14"/>
      <c r="D79" s="2"/>
      <c r="E79" s="2"/>
      <c r="F79" s="2"/>
      <c r="G79" s="2"/>
      <c r="H79" s="2">
        <v>1135.0899999999999</v>
      </c>
      <c r="I79" s="2">
        <v>160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1000</v>
      </c>
      <c r="P79" s="9"/>
      <c r="Q79" s="2">
        <f>SUM(OSRRefD21_9_0x)+IFERROR(SUM(OSRRefE21_9_0x),0)</f>
        <v>2295.09</v>
      </c>
    </row>
    <row r="80" spans="1:17" s="35" customFormat="1" collapsed="1" x14ac:dyDescent="0.3">
      <c r="A80" s="34"/>
      <c r="B80" s="14" t="str">
        <f>CONCATENATE("     ","Insurance                                         ")</f>
        <v xml:space="preserve">     Insurance                                         </v>
      </c>
      <c r="C80" s="14"/>
      <c r="D80" s="1">
        <f>SUM(OSRRefD21_10x_0)</f>
        <v>219.08</v>
      </c>
      <c r="E80" s="1">
        <f>SUM(OSRRefD21_10x_1)</f>
        <v>219.08</v>
      </c>
      <c r="F80" s="1">
        <f>SUM(OSRRefD21_10x_2)</f>
        <v>219.08</v>
      </c>
      <c r="G80" s="1">
        <f>SUM(OSRRefD21_10x_3)</f>
        <v>219.08</v>
      </c>
      <c r="H80" s="1">
        <f>SUM(OSRRefD21_10x_4)</f>
        <v>219.08</v>
      </c>
      <c r="I80" s="1">
        <f>SUM(OSRRefD21_10x_5)</f>
        <v>219.08</v>
      </c>
      <c r="J80" s="1">
        <f>SUM(OSRRefE21_10x_0)</f>
        <v>175</v>
      </c>
      <c r="K80" s="1">
        <f>SUM(OSRRefE21_10x_1)</f>
        <v>175</v>
      </c>
      <c r="L80" s="1">
        <f>SUM(OSRRefE21_10x_2)</f>
        <v>175</v>
      </c>
      <c r="M80" s="1">
        <f>SUM(OSRRefE21_10x_3)</f>
        <v>175</v>
      </c>
      <c r="N80" s="1">
        <f>SUM(OSRRefE21_10x_4)</f>
        <v>175</v>
      </c>
      <c r="O80" s="1">
        <f>SUM(OSRRefE21_10x_5)</f>
        <v>175</v>
      </c>
      <c r="Q80" s="2">
        <f>SUM(OSRRefD20_10x)+IFERROR(SUM(OSRRefE20_10x),0)</f>
        <v>2364.48</v>
      </c>
    </row>
    <row r="81" spans="1:17" s="35" customFormat="1" hidden="1" outlineLevel="1" x14ac:dyDescent="0.3">
      <c r="A81" s="34"/>
      <c r="B81" s="10" t="str">
        <f>CONCATENATE("          ","6314", " - ","LIABILITY INSURANCE")</f>
        <v xml:space="preserve">          6314 - LIABILITY INSURANCE</v>
      </c>
      <c r="C81" s="14"/>
      <c r="D81" s="2">
        <v>219.08</v>
      </c>
      <c r="E81" s="2">
        <v>219.08</v>
      </c>
      <c r="F81" s="2">
        <v>219.08</v>
      </c>
      <c r="G81" s="2">
        <v>219.08</v>
      </c>
      <c r="H81" s="2">
        <v>219.08</v>
      </c>
      <c r="I81" s="2">
        <v>219.08</v>
      </c>
      <c r="J81" s="2">
        <v>175</v>
      </c>
      <c r="K81" s="2">
        <v>175</v>
      </c>
      <c r="L81" s="2">
        <v>175</v>
      </c>
      <c r="M81" s="2">
        <v>175</v>
      </c>
      <c r="N81" s="2">
        <v>175</v>
      </c>
      <c r="O81" s="2">
        <v>175</v>
      </c>
      <c r="P81" s="9"/>
      <c r="Q81" s="2">
        <f>SUM(OSRRefD21_10_0x)+IFERROR(SUM(OSRRefE21_10_0x),0)</f>
        <v>2364.48</v>
      </c>
    </row>
    <row r="82" spans="1:17" s="35" customFormat="1" collapsed="1" x14ac:dyDescent="0.3">
      <c r="A82" s="34"/>
      <c r="B82" s="14" t="str">
        <f>CONCATENATE("     ","Inventory Adjustment                              ")</f>
        <v xml:space="preserve">     Inventory Adjustment                              </v>
      </c>
      <c r="C82" s="14"/>
      <c r="D82" s="1">
        <f>SUM(OSRRefD21_11x_0)</f>
        <v>3450</v>
      </c>
      <c r="E82" s="1">
        <f>SUM(OSRRefD21_11x_1)</f>
        <v>3450</v>
      </c>
      <c r="F82" s="1">
        <f>SUM(OSRRefD21_11x_2)</f>
        <v>3450</v>
      </c>
      <c r="G82" s="1">
        <f>SUM(OSRRefD21_11x_3)</f>
        <v>3450</v>
      </c>
      <c r="H82" s="1">
        <f>SUM(OSRRefD21_11x_4)</f>
        <v>3450</v>
      </c>
      <c r="I82" s="1">
        <f>SUM(OSRRefD21_11x_5)</f>
        <v>3450</v>
      </c>
      <c r="J82" s="1">
        <f>SUM(OSRRefE21_11x_0)</f>
        <v>3450</v>
      </c>
      <c r="K82" s="1">
        <f>SUM(OSRRefE21_11x_1)</f>
        <v>3450</v>
      </c>
      <c r="L82" s="1">
        <f>SUM(OSRRefE21_11x_2)</f>
        <v>3450</v>
      </c>
      <c r="M82" s="1">
        <f>SUM(OSRRefE21_11x_3)</f>
        <v>3450</v>
      </c>
      <c r="N82" s="1">
        <f>SUM(OSRRefE21_11x_4)</f>
        <v>3450</v>
      </c>
      <c r="O82" s="1">
        <f>SUM(OSRRefE21_11x_5)</f>
        <v>3450</v>
      </c>
      <c r="Q82" s="2">
        <f>SUM(OSRRefD20_11x)+IFERROR(SUM(OSRRefE20_11x),0)</f>
        <v>41400</v>
      </c>
    </row>
    <row r="83" spans="1:17" s="35" customFormat="1" hidden="1" outlineLevel="1" x14ac:dyDescent="0.3">
      <c r="A83" s="34"/>
      <c r="B83" s="10" t="str">
        <f>CONCATENATE("          ","6408", " - ","INVENTORY ADJUSTMENT")</f>
        <v xml:space="preserve">          6408 - INVENTORY ADJUSTMENT</v>
      </c>
      <c r="C83" s="14"/>
      <c r="D83" s="2">
        <v>3450</v>
      </c>
      <c r="E83" s="2">
        <v>3450</v>
      </c>
      <c r="F83" s="2">
        <v>3450</v>
      </c>
      <c r="G83" s="2">
        <v>3450</v>
      </c>
      <c r="H83" s="2">
        <v>3450</v>
      </c>
      <c r="I83" s="2">
        <v>3450</v>
      </c>
      <c r="J83" s="2">
        <v>3450</v>
      </c>
      <c r="K83" s="2">
        <v>3450</v>
      </c>
      <c r="L83" s="2">
        <v>3450</v>
      </c>
      <c r="M83" s="2">
        <v>3450</v>
      </c>
      <c r="N83" s="2">
        <v>3450</v>
      </c>
      <c r="O83" s="2">
        <v>3450</v>
      </c>
      <c r="P83" s="9"/>
      <c r="Q83" s="2">
        <f>SUM(OSRRefD21_11_0x)+IFERROR(SUM(OSRRefE21_11_0x),0)</f>
        <v>41400</v>
      </c>
    </row>
    <row r="84" spans="1:17" s="35" customFormat="1" collapsed="1" x14ac:dyDescent="0.3">
      <c r="A84" s="34"/>
      <c r="B84" s="14" t="str">
        <f>CONCATENATE("     ","Professional Services                             ")</f>
        <v xml:space="preserve">     Professional Services                             </v>
      </c>
      <c r="C84" s="14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669.1</v>
      </c>
      <c r="H84" s="1">
        <f>SUM(OSRRefD21_12x_4)</f>
        <v>0</v>
      </c>
      <c r="I84" s="1">
        <f>SUM(OSRRefD21_12x_5)</f>
        <v>0</v>
      </c>
      <c r="J84" s="1">
        <f>SUM(OSRRefE21_12x_0)</f>
        <v>250</v>
      </c>
      <c r="K84" s="1">
        <f>SUM(OSRRefE21_12x_1)</f>
        <v>0</v>
      </c>
      <c r="L84" s="1">
        <f>SUM(OSRRefE21_12x_2)</f>
        <v>0</v>
      </c>
      <c r="M84" s="1">
        <f>SUM(OSRRefE21_12x_3)</f>
        <v>250</v>
      </c>
      <c r="N84" s="1">
        <f>SUM(OSRRefE21_12x_4)</f>
        <v>0</v>
      </c>
      <c r="O84" s="1">
        <f>SUM(OSRRefE21_12x_5)</f>
        <v>0</v>
      </c>
      <c r="Q84" s="2">
        <f>SUM(OSRRefD20_12x)+IFERROR(SUM(OSRRefE20_12x),0)</f>
        <v>1169.0999999999999</v>
      </c>
    </row>
    <row r="85" spans="1:17" s="35" customFormat="1" hidden="1" outlineLevel="1" x14ac:dyDescent="0.3">
      <c r="A85" s="34"/>
      <c r="B85" s="10" t="str">
        <f>CONCATENATE("          ","6336", " - ","PROFESSIONAL SERVICES")</f>
        <v xml:space="preserve">          6336 - PROFESSIONAL SERVICES</v>
      </c>
      <c r="C85" s="14"/>
      <c r="D85" s="2"/>
      <c r="E85" s="2"/>
      <c r="F85" s="2"/>
      <c r="G85" s="2">
        <v>669.1</v>
      </c>
      <c r="H85" s="2"/>
      <c r="I85" s="2"/>
      <c r="J85" s="2">
        <v>250</v>
      </c>
      <c r="K85" s="2">
        <v>0</v>
      </c>
      <c r="L85" s="2">
        <v>0</v>
      </c>
      <c r="M85" s="2">
        <v>250</v>
      </c>
      <c r="N85" s="2">
        <v>0</v>
      </c>
      <c r="O85" s="2">
        <v>0</v>
      </c>
      <c r="P85" s="9"/>
      <c r="Q85" s="2">
        <f>SUM(OSRRefD21_12_0x)+IFERROR(SUM(OSRRefE21_12_0x),0)</f>
        <v>1169.0999999999999</v>
      </c>
    </row>
    <row r="86" spans="1:17" s="35" customFormat="1" collapsed="1" x14ac:dyDescent="0.3">
      <c r="A86" s="34"/>
      <c r="B86" s="14" t="str">
        <f>CONCATENATE("     ","Rent                                              ")</f>
        <v xml:space="preserve">     Rent                                              </v>
      </c>
      <c r="C86" s="14"/>
      <c r="D86" s="1">
        <f>SUM(OSRRefD21_13x_0)</f>
        <v>6900</v>
      </c>
      <c r="E86" s="1">
        <f>SUM(OSRRefD21_13x_1)</f>
        <v>6900</v>
      </c>
      <c r="F86" s="1">
        <f>SUM(OSRRefD21_13x_2)</f>
        <v>6900</v>
      </c>
      <c r="G86" s="1">
        <f>SUM(OSRRefD21_13x_3)</f>
        <v>6900</v>
      </c>
      <c r="H86" s="1">
        <f>SUM(OSRRefD21_13x_4)</f>
        <v>6900</v>
      </c>
      <c r="I86" s="1">
        <f>SUM(OSRRefD21_13x_5)</f>
        <v>6900</v>
      </c>
      <c r="J86" s="1">
        <f>SUM(OSRRefE21_13x_0)</f>
        <v>6900</v>
      </c>
      <c r="K86" s="1">
        <f>SUM(OSRRefE21_13x_1)</f>
        <v>6900</v>
      </c>
      <c r="L86" s="1">
        <f>SUM(OSRRefE21_13x_2)</f>
        <v>6900</v>
      </c>
      <c r="M86" s="1">
        <f>SUM(OSRRefE21_13x_3)</f>
        <v>6900</v>
      </c>
      <c r="N86" s="1">
        <f>SUM(OSRRefE21_13x_4)</f>
        <v>6900</v>
      </c>
      <c r="O86" s="1">
        <f>SUM(OSRRefE21_13x_5)</f>
        <v>6900</v>
      </c>
      <c r="Q86" s="2">
        <f>SUM(OSRRefD20_13x)+IFERROR(SUM(OSRRefE20_13x),0)</f>
        <v>82800</v>
      </c>
    </row>
    <row r="87" spans="1:17" s="35" customFormat="1" hidden="1" outlineLevel="1" x14ac:dyDescent="0.3">
      <c r="A87" s="34"/>
      <c r="B87" s="10" t="str">
        <f>CONCATENATE("          ","6273", " - ","RENT")</f>
        <v xml:space="preserve">          6273 - RENT</v>
      </c>
      <c r="C87" s="14"/>
      <c r="D87" s="2">
        <v>6900</v>
      </c>
      <c r="E87" s="2">
        <v>6900</v>
      </c>
      <c r="F87" s="2">
        <v>6900</v>
      </c>
      <c r="G87" s="2">
        <v>6900</v>
      </c>
      <c r="H87" s="2">
        <v>6900</v>
      </c>
      <c r="I87" s="2">
        <v>6900</v>
      </c>
      <c r="J87" s="2">
        <v>6900</v>
      </c>
      <c r="K87" s="2">
        <v>6900</v>
      </c>
      <c r="L87" s="2">
        <v>6900</v>
      </c>
      <c r="M87" s="2">
        <v>6900</v>
      </c>
      <c r="N87" s="2">
        <v>6900</v>
      </c>
      <c r="O87" s="2">
        <v>6900</v>
      </c>
      <c r="P87" s="9"/>
      <c r="Q87" s="2">
        <f>SUM(OSRRefD21_13_0x)+IFERROR(SUM(OSRRefE21_13_0x),0)</f>
        <v>82800</v>
      </c>
    </row>
    <row r="88" spans="1:17" s="35" customFormat="1" collapsed="1" x14ac:dyDescent="0.3">
      <c r="A88" s="34"/>
      <c r="B88" s="14" t="str">
        <f>CONCATENATE("     ","Repair and Maintenance                            ")</f>
        <v xml:space="preserve">     Repair and Maintenance                            </v>
      </c>
      <c r="C88" s="14"/>
      <c r="D88" s="1">
        <f>SUM(OSRRefD21_14x_0)</f>
        <v>0</v>
      </c>
      <c r="E88" s="1">
        <f>SUM(OSRRefD21_14x_1)</f>
        <v>782.06000000000006</v>
      </c>
      <c r="F88" s="1">
        <f>SUM(OSRRefD21_14x_2)</f>
        <v>230.9</v>
      </c>
      <c r="G88" s="1">
        <f>SUM(OSRRefD21_14x_3)</f>
        <v>0</v>
      </c>
      <c r="H88" s="1">
        <f>SUM(OSRRefD21_14x_4)</f>
        <v>0</v>
      </c>
      <c r="I88" s="1">
        <f>SUM(OSRRefD21_14x_5)</f>
        <v>1957.97</v>
      </c>
      <c r="J88" s="1">
        <f>SUM(OSRRefE21_14x_0)</f>
        <v>615</v>
      </c>
      <c r="K88" s="1">
        <f>SUM(OSRRefE21_14x_1)</f>
        <v>115</v>
      </c>
      <c r="L88" s="1">
        <f>SUM(OSRRefE21_14x_2)</f>
        <v>115</v>
      </c>
      <c r="M88" s="1">
        <f>SUM(OSRRefE21_14x_3)</f>
        <v>115</v>
      </c>
      <c r="N88" s="1">
        <f>SUM(OSRRefE21_14x_4)</f>
        <v>115</v>
      </c>
      <c r="O88" s="1">
        <f>SUM(OSRRefE21_14x_5)</f>
        <v>115</v>
      </c>
      <c r="Q88" s="2">
        <f>SUM(OSRRefD20_14x)+IFERROR(SUM(OSRRefE20_14x),0)</f>
        <v>4160.93</v>
      </c>
    </row>
    <row r="89" spans="1:17" s="35" customFormat="1" hidden="1" outlineLevel="1" x14ac:dyDescent="0.3">
      <c r="A89" s="34"/>
      <c r="B89" s="10" t="str">
        <f>CONCATENATE("          ","6373", " - ","MAINTENANCE CONTRACTS")</f>
        <v xml:space="preserve">          6373 - MAINTENANCE CONTRACTS</v>
      </c>
      <c r="C89" s="14"/>
      <c r="D89" s="2"/>
      <c r="E89" s="2">
        <v>5.7</v>
      </c>
      <c r="F89" s="2">
        <v>230.9</v>
      </c>
      <c r="G89" s="2"/>
      <c r="H89" s="2"/>
      <c r="I89" s="2">
        <v>232.93</v>
      </c>
      <c r="J89" s="2">
        <v>115</v>
      </c>
      <c r="K89" s="2">
        <v>115</v>
      </c>
      <c r="L89" s="2">
        <v>115</v>
      </c>
      <c r="M89" s="2">
        <v>115</v>
      </c>
      <c r="N89" s="2">
        <v>115</v>
      </c>
      <c r="O89" s="2">
        <v>115</v>
      </c>
      <c r="P89" s="9"/>
      <c r="Q89" s="2">
        <f>SUM(OSRRefD21_14_0x)+IFERROR(SUM(OSRRefE21_14_0x),0)</f>
        <v>1159.53</v>
      </c>
    </row>
    <row r="90" spans="1:17" s="35" customFormat="1" hidden="1" outlineLevel="1" x14ac:dyDescent="0.3">
      <c r="A90" s="34"/>
      <c r="B90" s="10" t="str">
        <f>CONCATENATE("          ","6375", " - ","OUTSIDE REPAIRS &amp; MAINTENANCE")</f>
        <v xml:space="preserve">          6375 - OUTSIDE REPAIRS &amp; MAINTENANCE</v>
      </c>
      <c r="C90" s="14"/>
      <c r="D90" s="2"/>
      <c r="E90" s="2">
        <v>776.36</v>
      </c>
      <c r="F90" s="2"/>
      <c r="G90" s="2"/>
      <c r="H90" s="2"/>
      <c r="I90" s="2">
        <v>1725.04</v>
      </c>
      <c r="J90" s="2">
        <v>500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9"/>
      <c r="Q90" s="2">
        <f>SUM(OSRRefD21_14_1x)+IFERROR(SUM(OSRRefE21_14_1x),0)</f>
        <v>3001.4</v>
      </c>
    </row>
    <row r="91" spans="1:17" s="35" customFormat="1" collapsed="1" x14ac:dyDescent="0.3">
      <c r="A91" s="34"/>
      <c r="B91" s="14" t="str">
        <f>CONCATENATE("     ","Royalty &amp; Commissions                             ")</f>
        <v xml:space="preserve">     Royalty &amp; Commissions                             </v>
      </c>
      <c r="C91" s="14"/>
      <c r="D91" s="1">
        <f>SUM(OSRRefD21_15x_0)</f>
        <v>7349.0400000000009</v>
      </c>
      <c r="E91" s="1">
        <f>SUM(OSRRefD21_15x_1)</f>
        <v>0</v>
      </c>
      <c r="F91" s="1">
        <f>SUM(OSRRefD21_15x_2)</f>
        <v>0</v>
      </c>
      <c r="G91" s="1">
        <f>SUM(OSRRefD21_15x_3)</f>
        <v>8783.75</v>
      </c>
      <c r="H91" s="1">
        <f>SUM(OSRRefD21_15x_4)</f>
        <v>0</v>
      </c>
      <c r="I91" s="1">
        <f>SUM(OSRRefD21_15x_5)</f>
        <v>0</v>
      </c>
      <c r="J91" s="1">
        <f>SUM(OSRRefE21_15x_0)</f>
        <v>9106</v>
      </c>
      <c r="K91" s="1">
        <f>SUM(OSRRefE21_15x_1)</f>
        <v>1446</v>
      </c>
      <c r="L91" s="1">
        <f>SUM(OSRRefE21_15x_2)</f>
        <v>2085</v>
      </c>
      <c r="M91" s="1">
        <f>SUM(OSRRefE21_15x_3)</f>
        <v>16503</v>
      </c>
      <c r="N91" s="1">
        <f>SUM(OSRRefE21_15x_4)</f>
        <v>3156</v>
      </c>
      <c r="O91" s="1">
        <f>SUM(OSRRefE21_15x_5)</f>
        <v>3322</v>
      </c>
      <c r="Q91" s="2">
        <f>SUM(OSRRefD20_15x)+IFERROR(SUM(OSRRefE20_15x),0)</f>
        <v>51750.79</v>
      </c>
    </row>
    <row r="92" spans="1:17" s="35" customFormat="1" hidden="1" outlineLevel="1" x14ac:dyDescent="0.3">
      <c r="A92" s="34"/>
      <c r="B92" s="10" t="str">
        <f>CONCATENATE("          ","6252", " - ","ROYALTY DUE CSTV")</f>
        <v xml:space="preserve">          6252 - ROYALTY DUE CSTV</v>
      </c>
      <c r="C92" s="14"/>
      <c r="D92" s="2"/>
      <c r="E92" s="2"/>
      <c r="F92" s="2"/>
      <c r="G92" s="2"/>
      <c r="H92" s="2"/>
      <c r="I92" s="2"/>
      <c r="J92" s="2">
        <v>821</v>
      </c>
      <c r="K92" s="2">
        <v>446</v>
      </c>
      <c r="L92" s="2">
        <v>1085</v>
      </c>
      <c r="M92" s="2">
        <v>948</v>
      </c>
      <c r="N92" s="2">
        <v>2156</v>
      </c>
      <c r="O92" s="2">
        <v>3322</v>
      </c>
      <c r="P92" s="9"/>
      <c r="Q92" s="2">
        <f>SUM(OSRRefD21_15_0x)+IFERROR(SUM(OSRRefE21_15_0x),0)</f>
        <v>8778</v>
      </c>
    </row>
    <row r="93" spans="1:17" s="35" customFormat="1" hidden="1" outlineLevel="1" x14ac:dyDescent="0.3">
      <c r="A93" s="34"/>
      <c r="B93" s="10" t="str">
        <f>CONCATENATE("          ","6253", " - ","ROYALTY DUE ATHLETICS-LRG")</f>
        <v xml:space="preserve">          6253 - ROYALTY DUE ATHLETICS-LRG</v>
      </c>
      <c r="C93" s="14"/>
      <c r="D93" s="2">
        <v>14376.54</v>
      </c>
      <c r="E93" s="2"/>
      <c r="F93" s="2"/>
      <c r="G93" s="2">
        <v>8783.75</v>
      </c>
      <c r="H93" s="2"/>
      <c r="I93" s="2"/>
      <c r="J93" s="2">
        <v>7785</v>
      </c>
      <c r="K93" s="2">
        <v>0</v>
      </c>
      <c r="L93" s="2">
        <v>0</v>
      </c>
      <c r="M93" s="2">
        <v>14555</v>
      </c>
      <c r="N93" s="2">
        <v>0</v>
      </c>
      <c r="O93" s="2">
        <v>0</v>
      </c>
      <c r="P93" s="9"/>
      <c r="Q93" s="2">
        <f>SUM(OSRRefD21_15_1x)+IFERROR(SUM(OSRRefE21_15_1x),0)</f>
        <v>45500.29</v>
      </c>
    </row>
    <row r="94" spans="1:17" s="35" customFormat="1" hidden="1" outlineLevel="1" x14ac:dyDescent="0.3">
      <c r="A94" s="34"/>
      <c r="B94" s="10" t="str">
        <f>CONCATENATE("          ","6254", " - ","ROYALTY &amp; COMMISSIONS")</f>
        <v xml:space="preserve">          6254 - ROYALTY &amp; COMMISSIONS</v>
      </c>
      <c r="C94" s="14"/>
      <c r="D94" s="2">
        <v>-7027.5</v>
      </c>
      <c r="E94" s="2"/>
      <c r="F94" s="2"/>
      <c r="G94" s="2"/>
      <c r="H94" s="2"/>
      <c r="I94" s="2">
        <v>0</v>
      </c>
      <c r="J94" s="2">
        <v>500</v>
      </c>
      <c r="K94" s="2">
        <v>1000</v>
      </c>
      <c r="L94" s="2">
        <v>1000</v>
      </c>
      <c r="M94" s="2">
        <v>1000</v>
      </c>
      <c r="N94" s="2">
        <v>1000</v>
      </c>
      <c r="O94" s="2">
        <v>0</v>
      </c>
      <c r="P94" s="9"/>
      <c r="Q94" s="2">
        <f>SUM(OSRRefD21_15_2x)+IFERROR(SUM(OSRRefE21_15_2x),0)</f>
        <v>-2527.5</v>
      </c>
    </row>
    <row r="95" spans="1:17" s="35" customFormat="1" collapsed="1" x14ac:dyDescent="0.3">
      <c r="A95" s="34"/>
      <c r="B95" s="14" t="str">
        <f>CONCATENATE("     ","Services                                          ")</f>
        <v xml:space="preserve">     Services                                          </v>
      </c>
      <c r="C95" s="14"/>
      <c r="D95" s="1">
        <f>SUM(OSRRefD21_16x_0)</f>
        <v>155.59</v>
      </c>
      <c r="E95" s="1">
        <f>SUM(OSRRefD21_16x_1)</f>
        <v>162.72</v>
      </c>
      <c r="F95" s="1">
        <f>SUM(OSRRefD21_16x_2)</f>
        <v>162.72</v>
      </c>
      <c r="G95" s="1">
        <f>SUM(OSRRefD21_16x_3)</f>
        <v>162.72</v>
      </c>
      <c r="H95" s="1">
        <f>SUM(OSRRefD21_16x_4)</f>
        <v>162.72</v>
      </c>
      <c r="I95" s="1">
        <f>SUM(OSRRefD21_16x_5)</f>
        <v>223.45</v>
      </c>
      <c r="J95" s="1">
        <f>SUM(OSRRefE21_16x_0)</f>
        <v>60</v>
      </c>
      <c r="K95" s="1">
        <f>SUM(OSRRefE21_16x_1)</f>
        <v>60</v>
      </c>
      <c r="L95" s="1">
        <f>SUM(OSRRefE21_16x_2)</f>
        <v>120</v>
      </c>
      <c r="M95" s="1">
        <f>SUM(OSRRefE21_16x_3)</f>
        <v>60</v>
      </c>
      <c r="N95" s="1">
        <f>SUM(OSRRefE21_16x_4)</f>
        <v>60</v>
      </c>
      <c r="O95" s="1">
        <f>SUM(OSRRefE21_16x_5)</f>
        <v>120</v>
      </c>
      <c r="Q95" s="2">
        <f>SUM(OSRRefD20_16x)+IFERROR(SUM(OSRRefE20_16x),0)</f>
        <v>1509.92</v>
      </c>
    </row>
    <row r="96" spans="1:17" s="35" customFormat="1" hidden="1" outlineLevel="1" x14ac:dyDescent="0.3">
      <c r="A96" s="34"/>
      <c r="B96" s="10" t="str">
        <f>CONCATENATE("          ","6284", " - ","TRASH REMOVAL EXPENSE")</f>
        <v xml:space="preserve">          6284 - TRASH REMOVAL EXPENSE</v>
      </c>
      <c r="C96" s="14"/>
      <c r="D96" s="2">
        <v>142.57</v>
      </c>
      <c r="E96" s="2">
        <v>149.69999999999999</v>
      </c>
      <c r="F96" s="2">
        <v>149.69999999999999</v>
      </c>
      <c r="G96" s="2">
        <v>149.69999999999999</v>
      </c>
      <c r="H96" s="2">
        <v>149.69999999999999</v>
      </c>
      <c r="I96" s="2">
        <v>149.69999999999999</v>
      </c>
      <c r="J96" s="2">
        <v>60</v>
      </c>
      <c r="K96" s="2">
        <v>60</v>
      </c>
      <c r="L96" s="2">
        <v>120</v>
      </c>
      <c r="M96" s="2">
        <v>60</v>
      </c>
      <c r="N96" s="2">
        <v>60</v>
      </c>
      <c r="O96" s="2">
        <v>120</v>
      </c>
      <c r="P96" s="9"/>
      <c r="Q96" s="2">
        <f>SUM(OSRRefD21_16_0x)+IFERROR(SUM(OSRRefE21_16_0x),0)</f>
        <v>1371.07</v>
      </c>
    </row>
    <row r="97" spans="1:17" s="35" customFormat="1" hidden="1" outlineLevel="1" x14ac:dyDescent="0.3">
      <c r="A97" s="34"/>
      <c r="B97" s="10" t="str">
        <f>CONCATENATE("          ","6285", " - ","JANITORIAL SERVICES")</f>
        <v xml:space="preserve">          6285 - JANITORIAL SERVICES</v>
      </c>
      <c r="C97" s="14"/>
      <c r="D97" s="2">
        <v>13.02</v>
      </c>
      <c r="E97" s="2">
        <v>13.02</v>
      </c>
      <c r="F97" s="2">
        <v>13.02</v>
      </c>
      <c r="G97" s="2">
        <v>13.02</v>
      </c>
      <c r="H97" s="2">
        <v>13.02</v>
      </c>
      <c r="I97" s="2">
        <v>73.75</v>
      </c>
      <c r="J97" s="2"/>
      <c r="K97" s="2"/>
      <c r="L97" s="2"/>
      <c r="M97" s="2"/>
      <c r="N97" s="2"/>
      <c r="O97" s="2"/>
      <c r="P97" s="9"/>
      <c r="Q97" s="2">
        <f>SUM(OSRRefD21_16_1x)+IFERROR(SUM(OSRRefE21_16_1x),0)</f>
        <v>138.85</v>
      </c>
    </row>
    <row r="98" spans="1:17" s="35" customFormat="1" collapsed="1" x14ac:dyDescent="0.3">
      <c r="A98" s="34"/>
      <c r="B98" s="14" t="str">
        <f>CONCATENATE("     ","Subscriptions &amp; Dues                              ")</f>
        <v xml:space="preserve">     Subscriptions &amp; Dues                              </v>
      </c>
      <c r="C98" s="14"/>
      <c r="D98" s="1">
        <f>SUM(OSRRefD21_17x_0)</f>
        <v>0</v>
      </c>
      <c r="E98" s="1">
        <f>SUM(OSRRefD21_17x_1)</f>
        <v>0</v>
      </c>
      <c r="F98" s="1">
        <f>SUM(OSRRefD21_17x_2)</f>
        <v>0</v>
      </c>
      <c r="G98" s="1">
        <f>SUM(OSRRefD21_17x_3)</f>
        <v>0</v>
      </c>
      <c r="H98" s="1">
        <f>SUM(OSRRefD21_17x_4)</f>
        <v>0</v>
      </c>
      <c r="I98" s="1">
        <f>SUM(OSRRefD21_17x_5)</f>
        <v>0</v>
      </c>
      <c r="J98" s="1">
        <f>SUM(OSRRefE21_17x_0)</f>
        <v>181</v>
      </c>
      <c r="K98" s="1">
        <f>SUM(OSRRefE21_17x_1)</f>
        <v>161</v>
      </c>
      <c r="L98" s="1">
        <f>SUM(OSRRefE21_17x_2)</f>
        <v>181</v>
      </c>
      <c r="M98" s="1">
        <f>SUM(OSRRefE21_17x_3)</f>
        <v>161</v>
      </c>
      <c r="N98" s="1">
        <f>SUM(OSRRefE21_17x_4)</f>
        <v>181</v>
      </c>
      <c r="O98" s="1">
        <f>SUM(OSRRefE21_17x_5)</f>
        <v>361</v>
      </c>
      <c r="Q98" s="2">
        <f>SUM(OSRRefD20_17x)+IFERROR(SUM(OSRRefE20_17x),0)</f>
        <v>1226</v>
      </c>
    </row>
    <row r="99" spans="1:17" s="35" customFormat="1" hidden="1" outlineLevel="1" x14ac:dyDescent="0.3">
      <c r="A99" s="34"/>
      <c r="B99" s="10" t="str">
        <f>CONCATENATE("          ","6258", " - ","MEMBERSHIP DUES")</f>
        <v xml:space="preserve">          6258 - MEMBERSHIP DUES</v>
      </c>
      <c r="C99" s="14"/>
      <c r="D99" s="2"/>
      <c r="E99" s="2"/>
      <c r="F99" s="2"/>
      <c r="G99" s="2"/>
      <c r="H99" s="2"/>
      <c r="I99" s="2"/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200</v>
      </c>
      <c r="P99" s="9"/>
      <c r="Q99" s="2">
        <f>SUM(OSRRefD21_17_0x)+IFERROR(SUM(OSRRefE21_17_0x),0)</f>
        <v>200</v>
      </c>
    </row>
    <row r="100" spans="1:17" s="35" customFormat="1" hidden="1" outlineLevel="1" x14ac:dyDescent="0.3">
      <c r="A100" s="34"/>
      <c r="B100" s="10" t="str">
        <f>CONCATENATE("          ","6275", " - ","SUBSCRIPTIONS")</f>
        <v xml:space="preserve">          6275 - SUBSCRIPTIONS</v>
      </c>
      <c r="C100" s="14"/>
      <c r="D100" s="2"/>
      <c r="E100" s="2"/>
      <c r="F100" s="2"/>
      <c r="G100" s="2"/>
      <c r="H100" s="2"/>
      <c r="I100" s="2"/>
      <c r="J100" s="2">
        <v>181</v>
      </c>
      <c r="K100" s="2">
        <v>161</v>
      </c>
      <c r="L100" s="2">
        <v>181</v>
      </c>
      <c r="M100" s="2">
        <v>161</v>
      </c>
      <c r="N100" s="2">
        <v>181</v>
      </c>
      <c r="O100" s="2">
        <v>161</v>
      </c>
      <c r="P100" s="9"/>
      <c r="Q100" s="2">
        <f>SUM(OSRRefD21_17_1x)+IFERROR(SUM(OSRRefE21_17_1x),0)</f>
        <v>1026</v>
      </c>
    </row>
    <row r="101" spans="1:17" s="35" customFormat="1" collapsed="1" x14ac:dyDescent="0.3">
      <c r="A101" s="34"/>
      <c r="B101" s="14" t="str">
        <f>CONCATENATE("     ","Supplies                                          ")</f>
        <v xml:space="preserve">     Supplies                                          </v>
      </c>
      <c r="C101" s="14"/>
      <c r="D101" s="1">
        <f>SUM(OSRRefD21_18x_0)</f>
        <v>2772.92</v>
      </c>
      <c r="E101" s="1">
        <f>SUM(OSRRefD21_18x_1)</f>
        <v>3146.37</v>
      </c>
      <c r="F101" s="1">
        <f>SUM(OSRRefD21_18x_2)</f>
        <v>324.99</v>
      </c>
      <c r="G101" s="1">
        <f>SUM(OSRRefD21_18x_3)</f>
        <v>1228.48</v>
      </c>
      <c r="H101" s="1">
        <f>SUM(OSRRefD21_18x_4)</f>
        <v>162.06</v>
      </c>
      <c r="I101" s="1">
        <f>SUM(OSRRefD21_18x_5)</f>
        <v>951.74</v>
      </c>
      <c r="J101" s="1">
        <f>SUM(OSRRefE21_18x_0)</f>
        <v>105</v>
      </c>
      <c r="K101" s="1">
        <f>SUM(OSRRefE21_18x_1)</f>
        <v>105</v>
      </c>
      <c r="L101" s="1">
        <f>SUM(OSRRefE21_18x_2)</f>
        <v>105</v>
      </c>
      <c r="M101" s="1">
        <f>SUM(OSRRefE21_18x_3)</f>
        <v>105</v>
      </c>
      <c r="N101" s="1">
        <f>SUM(OSRRefE21_18x_4)</f>
        <v>145</v>
      </c>
      <c r="O101" s="1">
        <f>SUM(OSRRefE21_18x_5)</f>
        <v>105</v>
      </c>
      <c r="Q101" s="2">
        <f>SUM(OSRRefD20_18x)+IFERROR(SUM(OSRRefE20_18x),0)</f>
        <v>9256.5600000000013</v>
      </c>
    </row>
    <row r="102" spans="1:17" s="35" customFormat="1" hidden="1" outlineLevel="1" x14ac:dyDescent="0.3">
      <c r="A102" s="34"/>
      <c r="B102" s="10" t="str">
        <f>CONCATENATE("          ","6235", " - ","COVID-19 EXPENSES")</f>
        <v xml:space="preserve">          6235 - COVID-19 EXPENSES</v>
      </c>
      <c r="C102" s="14"/>
      <c r="D102" s="2"/>
      <c r="E102" s="2"/>
      <c r="F102" s="2"/>
      <c r="G102" s="2"/>
      <c r="H102" s="2"/>
      <c r="I102" s="2"/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SUM(OSRRefD21_18_0x)+IFERROR(SUM(OSRRefE21_18_0x),0)</f>
        <v>0</v>
      </c>
    </row>
    <row r="103" spans="1:17" s="35" customFormat="1" hidden="1" outlineLevel="1" x14ac:dyDescent="0.3">
      <c r="A103" s="34"/>
      <c r="B103" s="10" t="str">
        <f>CONCATENATE("          ","6237", " - ","JANITORIAL SUPPLIES")</f>
        <v xml:space="preserve">          6237 - JANITORIAL SUPPLIES</v>
      </c>
      <c r="C103" s="14"/>
      <c r="D103" s="2"/>
      <c r="E103" s="2">
        <v>77.17</v>
      </c>
      <c r="F103" s="2"/>
      <c r="G103" s="2"/>
      <c r="H103" s="2"/>
      <c r="I103" s="2"/>
      <c r="J103" s="2">
        <v>10</v>
      </c>
      <c r="K103" s="2">
        <v>10</v>
      </c>
      <c r="L103" s="2">
        <v>10</v>
      </c>
      <c r="M103" s="2">
        <v>10</v>
      </c>
      <c r="N103" s="2">
        <v>50</v>
      </c>
      <c r="O103" s="2">
        <v>10</v>
      </c>
      <c r="P103" s="9"/>
      <c r="Q103" s="2">
        <f>SUM(OSRRefD21_18_1x)+IFERROR(SUM(OSRRefE21_18_1x),0)</f>
        <v>177.17000000000002</v>
      </c>
    </row>
    <row r="104" spans="1:17" s="35" customFormat="1" hidden="1" outlineLevel="1" x14ac:dyDescent="0.3">
      <c r="A104" s="34"/>
      <c r="B104" s="10" t="str">
        <f>CONCATENATE("          ","6241", " - ","OFFICE EXPENSE")</f>
        <v xml:space="preserve">          6241 - OFFICE EXPENSE</v>
      </c>
      <c r="C104" s="14"/>
      <c r="D104" s="2">
        <v>131.47999999999999</v>
      </c>
      <c r="E104" s="2">
        <v>94.57</v>
      </c>
      <c r="F104" s="2">
        <v>267.68</v>
      </c>
      <c r="G104" s="2">
        <v>269.39</v>
      </c>
      <c r="H104" s="2">
        <v>164.36</v>
      </c>
      <c r="I104" s="2">
        <v>485.5</v>
      </c>
      <c r="J104" s="2">
        <v>45</v>
      </c>
      <c r="K104" s="2">
        <v>45</v>
      </c>
      <c r="L104" s="2">
        <v>45</v>
      </c>
      <c r="M104" s="2">
        <v>45</v>
      </c>
      <c r="N104" s="2">
        <v>45</v>
      </c>
      <c r="O104" s="2">
        <v>45</v>
      </c>
      <c r="P104" s="9"/>
      <c r="Q104" s="2">
        <f>SUM(OSRRefD21_18_2x)+IFERROR(SUM(OSRRefE21_18_2x),0)</f>
        <v>1682.98</v>
      </c>
    </row>
    <row r="105" spans="1:17" s="35" customFormat="1" hidden="1" outlineLevel="1" x14ac:dyDescent="0.3">
      <c r="A105" s="34"/>
      <c r="B105" s="10" t="str">
        <f>CONCATENATE("          ","6245", " - ","PRINTING")</f>
        <v xml:space="preserve">          6245 - PRINTING</v>
      </c>
      <c r="C105" s="14"/>
      <c r="D105" s="2"/>
      <c r="E105" s="2"/>
      <c r="F105" s="2"/>
      <c r="G105" s="2"/>
      <c r="H105" s="2"/>
      <c r="I105" s="2">
        <v>24.75</v>
      </c>
      <c r="J105" s="2"/>
      <c r="K105" s="2"/>
      <c r="L105" s="2"/>
      <c r="M105" s="2"/>
      <c r="N105" s="2"/>
      <c r="O105" s="2"/>
      <c r="P105" s="9"/>
      <c r="Q105" s="2">
        <f>SUM(OSRRefD21_18_3x)+IFERROR(SUM(OSRRefE21_18_3x),0)</f>
        <v>24.75</v>
      </c>
    </row>
    <row r="106" spans="1:17" s="35" customFormat="1" hidden="1" outlineLevel="1" x14ac:dyDescent="0.3">
      <c r="A106" s="34"/>
      <c r="B106" s="10" t="str">
        <f>CONCATENATE("          ","6247", " - ","STORE SUPPLIES")</f>
        <v xml:space="preserve">          6247 - STORE SUPPLIES</v>
      </c>
      <c r="C106" s="14"/>
      <c r="D106" s="2">
        <v>2641.44</v>
      </c>
      <c r="E106" s="2">
        <v>2974.63</v>
      </c>
      <c r="F106" s="2">
        <v>57.31</v>
      </c>
      <c r="G106" s="2">
        <v>959.09</v>
      </c>
      <c r="H106" s="2">
        <v>-2.2999999999999998</v>
      </c>
      <c r="I106" s="2">
        <v>441.49</v>
      </c>
      <c r="J106" s="2">
        <v>50</v>
      </c>
      <c r="K106" s="2">
        <v>50</v>
      </c>
      <c r="L106" s="2">
        <v>50</v>
      </c>
      <c r="M106" s="2">
        <v>50</v>
      </c>
      <c r="N106" s="2">
        <v>50</v>
      </c>
      <c r="O106" s="2">
        <v>50</v>
      </c>
      <c r="P106" s="9"/>
      <c r="Q106" s="2">
        <f>SUM(OSRRefD21_18_4x)+IFERROR(SUM(OSRRefE21_18_4x),0)</f>
        <v>7371.66</v>
      </c>
    </row>
    <row r="107" spans="1:17" s="35" customFormat="1" collapsed="1" x14ac:dyDescent="0.3">
      <c r="A107" s="34"/>
      <c r="B107" s="14" t="str">
        <f>CONCATENATE("     ","Telephone/Data Lines                              ")</f>
        <v xml:space="preserve">     Telephone/Data Lines                              </v>
      </c>
      <c r="C107" s="14"/>
      <c r="D107" s="1">
        <f>SUM(OSRRefD21_19x_0)</f>
        <v>266.89</v>
      </c>
      <c r="E107" s="1">
        <f>SUM(OSRRefD21_19x_1)</f>
        <v>552.29</v>
      </c>
      <c r="F107" s="1">
        <f>SUM(OSRRefD21_19x_2)</f>
        <v>304.49</v>
      </c>
      <c r="G107" s="1">
        <f>SUM(OSRRefD21_19x_3)</f>
        <v>953.29</v>
      </c>
      <c r="H107" s="1">
        <f>SUM(OSRRefD21_19x_4)</f>
        <v>546.69000000000005</v>
      </c>
      <c r="I107" s="1">
        <f>SUM(OSRRefD21_19x_5)</f>
        <v>409.69</v>
      </c>
      <c r="J107" s="1">
        <f>SUM(OSRRefE21_19x_0)</f>
        <v>550</v>
      </c>
      <c r="K107" s="1">
        <f>SUM(OSRRefE21_19x_1)</f>
        <v>550</v>
      </c>
      <c r="L107" s="1">
        <f>SUM(OSRRefE21_19x_2)</f>
        <v>550</v>
      </c>
      <c r="M107" s="1">
        <f>SUM(OSRRefE21_19x_3)</f>
        <v>550</v>
      </c>
      <c r="N107" s="1">
        <f>SUM(OSRRefE21_19x_4)</f>
        <v>550</v>
      </c>
      <c r="O107" s="1">
        <f>SUM(OSRRefE21_19x_5)</f>
        <v>550</v>
      </c>
      <c r="Q107" s="2">
        <f>SUM(OSRRefD20_19x)+IFERROR(SUM(OSRRefE20_19x),0)</f>
        <v>6333.34</v>
      </c>
    </row>
    <row r="108" spans="1:17" s="35" customFormat="1" hidden="1" outlineLevel="1" x14ac:dyDescent="0.3">
      <c r="A108" s="34"/>
      <c r="B108" s="10" t="str">
        <f>CONCATENATE("          ","6309", " - ","TELEPHONE")</f>
        <v xml:space="preserve">          6309 - TELEPHONE</v>
      </c>
      <c r="C108" s="14"/>
      <c r="D108" s="2">
        <v>266.89</v>
      </c>
      <c r="E108" s="2">
        <v>552.29</v>
      </c>
      <c r="F108" s="2">
        <v>304.49</v>
      </c>
      <c r="G108" s="2">
        <v>953.29</v>
      </c>
      <c r="H108" s="2">
        <v>546.69000000000005</v>
      </c>
      <c r="I108" s="2">
        <v>409.69</v>
      </c>
      <c r="J108" s="2">
        <v>550</v>
      </c>
      <c r="K108" s="2">
        <v>550</v>
      </c>
      <c r="L108" s="2">
        <v>550</v>
      </c>
      <c r="M108" s="2">
        <v>550</v>
      </c>
      <c r="N108" s="2">
        <v>550</v>
      </c>
      <c r="O108" s="2">
        <v>550</v>
      </c>
      <c r="P108" s="9"/>
      <c r="Q108" s="2">
        <f>SUM(OSRRefD21_19_0x)+IFERROR(SUM(OSRRefE21_19_0x),0)</f>
        <v>6333.34</v>
      </c>
    </row>
    <row r="109" spans="1:17" s="35" customFormat="1" collapsed="1" x14ac:dyDescent="0.3">
      <c r="A109" s="34"/>
      <c r="B109" s="14" t="str">
        <f>CONCATENATE("     ","Travel                                            ")</f>
        <v xml:space="preserve">     Travel                                            </v>
      </c>
      <c r="C109" s="14"/>
      <c r="D109" s="1">
        <f>SUM(OSRRefD21_20x_0)</f>
        <v>188.14</v>
      </c>
      <c r="E109" s="1">
        <f>SUM(OSRRefD21_20x_1)</f>
        <v>0</v>
      </c>
      <c r="F109" s="1">
        <f>SUM(OSRRefD21_20x_2)</f>
        <v>27.39</v>
      </c>
      <c r="G109" s="1">
        <f>SUM(OSRRefD21_20x_3)</f>
        <v>0</v>
      </c>
      <c r="H109" s="1">
        <f>SUM(OSRRefD21_20x_4)</f>
        <v>0</v>
      </c>
      <c r="I109" s="1">
        <f>SUM(OSRRefD21_20x_5)</f>
        <v>24.4</v>
      </c>
      <c r="J109" s="1">
        <f>SUM(OSRRefE21_20x_0)</f>
        <v>50</v>
      </c>
      <c r="K109" s="1">
        <f>SUM(OSRRefE21_20x_1)</f>
        <v>50</v>
      </c>
      <c r="L109" s="1">
        <f>SUM(OSRRefE21_20x_2)</f>
        <v>50</v>
      </c>
      <c r="M109" s="1">
        <f>SUM(OSRRefE21_20x_3)</f>
        <v>50</v>
      </c>
      <c r="N109" s="1">
        <f>SUM(OSRRefE21_20x_4)</f>
        <v>50</v>
      </c>
      <c r="O109" s="1">
        <f>SUM(OSRRefE21_20x_5)</f>
        <v>50</v>
      </c>
      <c r="Q109" s="2">
        <f>SUM(OSRRefD20_20x)+IFERROR(SUM(OSRRefE20_20x),0)</f>
        <v>539.92999999999995</v>
      </c>
    </row>
    <row r="110" spans="1:17" s="35" customFormat="1" hidden="1" outlineLevel="1" x14ac:dyDescent="0.3">
      <c r="A110" s="34"/>
      <c r="B110" s="10" t="str">
        <f>CONCATENATE("          ","6294", " - ","TRAVEL OPERATIONAL")</f>
        <v xml:space="preserve">          6294 - TRAVEL OPERATIONAL</v>
      </c>
      <c r="C110" s="14"/>
      <c r="D110" s="2">
        <v>188.14</v>
      </c>
      <c r="E110" s="2"/>
      <c r="F110" s="2">
        <v>27.39</v>
      </c>
      <c r="G110" s="2"/>
      <c r="H110" s="2"/>
      <c r="I110" s="2">
        <v>24.4</v>
      </c>
      <c r="J110" s="2">
        <v>25</v>
      </c>
      <c r="K110" s="2">
        <v>25</v>
      </c>
      <c r="L110" s="2">
        <v>25</v>
      </c>
      <c r="M110" s="2">
        <v>25</v>
      </c>
      <c r="N110" s="2">
        <v>25</v>
      </c>
      <c r="O110" s="2">
        <v>25</v>
      </c>
      <c r="P110" s="9"/>
      <c r="Q110" s="2">
        <f>SUM(OSRRefD21_20_0x)+IFERROR(SUM(OSRRefE21_20_0x),0)</f>
        <v>389.92999999999995</v>
      </c>
    </row>
    <row r="111" spans="1:17" s="35" customFormat="1" hidden="1" outlineLevel="1" x14ac:dyDescent="0.3">
      <c r="A111" s="34"/>
      <c r="B111" s="10" t="str">
        <f>CONCATENATE("          ","6298", " - ","VEHICLE MILEAGE")</f>
        <v xml:space="preserve">          6298 - VEHICLE MILEAGE</v>
      </c>
      <c r="C111" s="14"/>
      <c r="D111" s="2"/>
      <c r="E111" s="2"/>
      <c r="F111" s="2"/>
      <c r="G111" s="2"/>
      <c r="H111" s="2"/>
      <c r="I111" s="2"/>
      <c r="J111" s="2">
        <v>25</v>
      </c>
      <c r="K111" s="2">
        <v>25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SUM(OSRRefD21_20_1x)+IFERROR(SUM(OSRRefE21_20_1x),0)</f>
        <v>150</v>
      </c>
    </row>
    <row r="112" spans="1:17" s="35" customFormat="1" collapsed="1" x14ac:dyDescent="0.3">
      <c r="A112" s="34"/>
      <c r="B112" s="14" t="str">
        <f>CONCATENATE("     ","Utilities                                         ")</f>
        <v xml:space="preserve">     Utilities                                         </v>
      </c>
      <c r="C112" s="14"/>
      <c r="D112" s="1">
        <f>SUM(OSRRefD21_21x_0)</f>
        <v>36.49</v>
      </c>
      <c r="E112" s="1">
        <f>SUM(OSRRefD21_21x_1)</f>
        <v>37.29</v>
      </c>
      <c r="F112" s="1">
        <f>SUM(OSRRefD21_21x_2)</f>
        <v>37.6</v>
      </c>
      <c r="G112" s="1">
        <f>SUM(OSRRefD21_21x_3)</f>
        <v>38.6</v>
      </c>
      <c r="H112" s="1">
        <f>SUM(OSRRefD21_21x_4)</f>
        <v>33.61</v>
      </c>
      <c r="I112" s="1">
        <f>SUM(OSRRefD21_21x_5)</f>
        <v>62.92</v>
      </c>
      <c r="J112" s="1">
        <f>SUM(OSRRefE21_21x_0)</f>
        <v>120</v>
      </c>
      <c r="K112" s="1">
        <f>SUM(OSRRefE21_21x_1)</f>
        <v>2800</v>
      </c>
      <c r="L112" s="1">
        <f>SUM(OSRRefE21_21x_2)</f>
        <v>120</v>
      </c>
      <c r="M112" s="1">
        <f>SUM(OSRRefE21_21x_3)</f>
        <v>120</v>
      </c>
      <c r="N112" s="1">
        <f>SUM(OSRRefE21_21x_4)</f>
        <v>120</v>
      </c>
      <c r="O112" s="1">
        <f>SUM(OSRRefE21_21x_5)</f>
        <v>120</v>
      </c>
      <c r="Q112" s="2">
        <f>SUM(OSRRefD20_21x)+IFERROR(SUM(OSRRefE20_21x),0)</f>
        <v>3646.51</v>
      </c>
    </row>
    <row r="113" spans="1:17" s="35" customFormat="1" hidden="1" outlineLevel="1" x14ac:dyDescent="0.3">
      <c r="A113" s="34"/>
      <c r="B113" s="10" t="str">
        <f>CONCATENATE("          ","6274", " - ","UTILITIES")</f>
        <v xml:space="preserve">          6274 - UTILITIES</v>
      </c>
      <c r="C113" s="14"/>
      <c r="D113" s="2">
        <v>36.49</v>
      </c>
      <c r="E113" s="2">
        <v>37.29</v>
      </c>
      <c r="F113" s="2">
        <v>37.6</v>
      </c>
      <c r="G113" s="2">
        <v>38.6</v>
      </c>
      <c r="H113" s="2">
        <v>33.61</v>
      </c>
      <c r="I113" s="2">
        <v>62.92</v>
      </c>
      <c r="J113" s="2">
        <v>120</v>
      </c>
      <c r="K113" s="2">
        <v>2800</v>
      </c>
      <c r="L113" s="2">
        <v>120</v>
      </c>
      <c r="M113" s="2">
        <v>120</v>
      </c>
      <c r="N113" s="2">
        <v>120</v>
      </c>
      <c r="O113" s="2">
        <v>120</v>
      </c>
      <c r="P113" s="9"/>
      <c r="Q113" s="2">
        <f>SUM(OSRRefD21_21_0x)+IFERROR(SUM(OSRRefE21_21_0x),0)</f>
        <v>3646.51</v>
      </c>
    </row>
    <row r="114" spans="1:17" s="29" customFormat="1" x14ac:dyDescent="0.3">
      <c r="A114" s="21"/>
      <c r="B114" s="21"/>
      <c r="C114" s="2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s="9" customFormat="1" x14ac:dyDescent="0.3">
      <c r="A115" s="23"/>
      <c r="B115" s="16" t="s">
        <v>293</v>
      </c>
      <c r="C115" s="22"/>
      <c r="D115" s="3">
        <f>--35082.02</f>
        <v>35082.019999999997</v>
      </c>
      <c r="E115" s="3">
        <f>--56991</f>
        <v>56991</v>
      </c>
      <c r="F115" s="3">
        <f>-308.7</f>
        <v>-308.7</v>
      </c>
      <c r="G115" s="3">
        <f>--27298.8</f>
        <v>27298.799999999999</v>
      </c>
      <c r="H115" s="3">
        <f>0</f>
        <v>0</v>
      </c>
      <c r="I115" s="3">
        <f>--290</f>
        <v>290</v>
      </c>
      <c r="J115" s="3">
        <v>15571</v>
      </c>
      <c r="K115" s="3">
        <v>0</v>
      </c>
      <c r="L115" s="3">
        <v>58333</v>
      </c>
      <c r="M115" s="3">
        <v>29111</v>
      </c>
      <c r="N115" s="3">
        <v>250000</v>
      </c>
      <c r="O115" s="3">
        <v>208334</v>
      </c>
      <c r="Q115" s="2">
        <f>SUM(OSRRefD23_0x)+IFERROR(SUM(OSRRefE23_0x),0)</f>
        <v>680702.12</v>
      </c>
    </row>
    <row r="116" spans="1:17" x14ac:dyDescent="0.3">
      <c r="A116" s="5"/>
      <c r="B116" s="6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">
      <c r="A117" s="6"/>
      <c r="B117" s="17" t="s">
        <v>276</v>
      </c>
      <c r="C117" s="17"/>
      <c r="D117" s="7">
        <f t="shared" ref="D117:O117" si="3">IFERROR(+D38-D41+D115, 0)</f>
        <v>12021.139999999948</v>
      </c>
      <c r="E117" s="7">
        <f t="shared" si="3"/>
        <v>208636.18</v>
      </c>
      <c r="F117" s="7">
        <f t="shared" si="3"/>
        <v>77111.25999999998</v>
      </c>
      <c r="G117" s="7">
        <f t="shared" si="3"/>
        <v>127262.24999999996</v>
      </c>
      <c r="H117" s="7">
        <f t="shared" si="3"/>
        <v>59992.430000000051</v>
      </c>
      <c r="I117" s="7">
        <f t="shared" si="3"/>
        <v>130239.74</v>
      </c>
      <c r="J117" s="7">
        <f t="shared" si="3"/>
        <v>21154.121572634627</v>
      </c>
      <c r="K117" s="7">
        <f t="shared" si="3"/>
        <v>18289.897258107667</v>
      </c>
      <c r="L117" s="7">
        <f t="shared" si="3"/>
        <v>90525.897258107667</v>
      </c>
      <c r="M117" s="7">
        <f t="shared" si="3"/>
        <v>26576.121572634613</v>
      </c>
      <c r="N117" s="7">
        <f t="shared" si="3"/>
        <v>281053.89725810767</v>
      </c>
      <c r="O117" s="7">
        <f t="shared" si="3"/>
        <v>229200.94619480768</v>
      </c>
      <c r="Q117" s="7">
        <f>IFERROR(+Q38-Q41+Q115, 0)</f>
        <v>1282063.8811143995</v>
      </c>
    </row>
    <row r="118" spans="1:17" s="6" customFormat="1" x14ac:dyDescent="0.3">
      <c r="B118" s="16"/>
      <c r="C118" s="16"/>
      <c r="D118" s="4">
        <f t="shared" ref="D118:O118" si="4">IFERROR(D117/D10, 0)</f>
        <v>7.7131963996519434E-2</v>
      </c>
      <c r="E118" s="4">
        <f t="shared" si="4"/>
        <v>0.48445075922049924</v>
      </c>
      <c r="F118" s="4">
        <f t="shared" si="4"/>
        <v>0.25044391278263545</v>
      </c>
      <c r="G118" s="4">
        <f t="shared" si="4"/>
        <v>0.26622184041514968</v>
      </c>
      <c r="H118" s="4">
        <f t="shared" si="4"/>
        <v>0.22614061531654442</v>
      </c>
      <c r="I118" s="4">
        <f t="shared" si="4"/>
        <v>0.30225108816642859</v>
      </c>
      <c r="J118" s="4">
        <f t="shared" si="4"/>
        <v>8.0097391464132167E-2</v>
      </c>
      <c r="K118" s="4">
        <f t="shared" si="4"/>
        <v>7.617362710991582E-2</v>
      </c>
      <c r="L118" s="4">
        <f t="shared" si="4"/>
        <v>0.35148999708058531</v>
      </c>
      <c r="M118" s="4">
        <f t="shared" si="4"/>
        <v>0.10392176799397265</v>
      </c>
      <c r="N118" s="4">
        <f t="shared" si="4"/>
        <v>1.0633776281695919</v>
      </c>
      <c r="O118" s="4">
        <f t="shared" si="4"/>
        <v>0.89738790017112824</v>
      </c>
      <c r="P118" s="18"/>
      <c r="Q118" s="4">
        <f>IFERROR(Q117/Q10, 0)</f>
        <v>0.35555212168204403</v>
      </c>
    </row>
    <row r="119" spans="1:17" x14ac:dyDescent="0.3">
      <c r="A119" s="5"/>
      <c r="B119" s="6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5" customFormat="1" x14ac:dyDescent="0.3">
      <c r="A120" s="25"/>
      <c r="B120" s="6" t="s">
        <v>125</v>
      </c>
      <c r="C120" s="6"/>
      <c r="D120" s="3">
        <v>72002.8</v>
      </c>
      <c r="E120" s="3">
        <v>15642.22</v>
      </c>
      <c r="F120" s="3">
        <v>23061.8</v>
      </c>
      <c r="G120" s="3">
        <v>47936.61</v>
      </c>
      <c r="H120" s="3">
        <v>36429.949999999997</v>
      </c>
      <c r="I120" s="3">
        <v>53929.69</v>
      </c>
      <c r="J120" s="3">
        <v>26070</v>
      </c>
      <c r="K120" s="3">
        <v>23419</v>
      </c>
      <c r="L120" s="3">
        <v>30346</v>
      </c>
      <c r="M120" s="3">
        <v>34472</v>
      </c>
      <c r="N120" s="3">
        <v>35322</v>
      </c>
      <c r="O120" s="3">
        <v>-2360</v>
      </c>
      <c r="Q120" s="2">
        <f>SUM(OSRRefD28_0x)+IFERROR(SUM(OSRRefE28_0x),0)</f>
        <v>396272.07</v>
      </c>
    </row>
    <row r="121" spans="1:17" x14ac:dyDescent="0.3">
      <c r="A121" s="5"/>
      <c r="B121" s="6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ht="15" thickBot="1" x14ac:dyDescent="0.35">
      <c r="A122" s="6"/>
      <c r="B122" s="17" t="s">
        <v>124</v>
      </c>
      <c r="C122" s="17"/>
      <c r="D122" s="8">
        <f t="shared" ref="D122:O122" si="5">IFERROR(+D117-D120, 0)</f>
        <v>-59981.660000000054</v>
      </c>
      <c r="E122" s="8">
        <f t="shared" si="5"/>
        <v>192993.96</v>
      </c>
      <c r="F122" s="8">
        <f t="shared" si="5"/>
        <v>54049.459999999977</v>
      </c>
      <c r="G122" s="8">
        <f t="shared" si="5"/>
        <v>79325.639999999956</v>
      </c>
      <c r="H122" s="8">
        <f t="shared" si="5"/>
        <v>23562.480000000054</v>
      </c>
      <c r="I122" s="8">
        <f t="shared" si="5"/>
        <v>76310.05</v>
      </c>
      <c r="J122" s="8">
        <f t="shared" si="5"/>
        <v>-4915.8784273653728</v>
      </c>
      <c r="K122" s="8">
        <f t="shared" si="5"/>
        <v>-5129.1027418923331</v>
      </c>
      <c r="L122" s="8">
        <f t="shared" si="5"/>
        <v>60179.897258107667</v>
      </c>
      <c r="M122" s="8">
        <f t="shared" si="5"/>
        <v>-7895.8784273653873</v>
      </c>
      <c r="N122" s="8">
        <f t="shared" si="5"/>
        <v>245731.89725810767</v>
      </c>
      <c r="O122" s="8">
        <f t="shared" si="5"/>
        <v>231560.94619480768</v>
      </c>
      <c r="Q122" s="8">
        <f>IFERROR(+Q117-Q120, 0)</f>
        <v>885791.81111439946</v>
      </c>
    </row>
    <row r="123" spans="1:17" ht="15" thickTop="1" x14ac:dyDescent="0.3">
      <c r="A123" s="5"/>
      <c r="B123" s="5"/>
      <c r="C123" s="5"/>
      <c r="D123" s="4">
        <f t="shared" ref="D123:O123" si="6">IFERROR(D122/D10, 0)</f>
        <v>-0.38486393466605445</v>
      </c>
      <c r="E123" s="4">
        <f t="shared" si="6"/>
        <v>0.44812970812143249</v>
      </c>
      <c r="F123" s="4">
        <f t="shared" si="6"/>
        <v>0.17554321179797272</v>
      </c>
      <c r="G123" s="4">
        <f t="shared" si="6"/>
        <v>0.16594251534064194</v>
      </c>
      <c r="H123" s="4">
        <f t="shared" si="6"/>
        <v>8.8818434685572489E-2</v>
      </c>
      <c r="I123" s="4">
        <f t="shared" si="6"/>
        <v>0.17709491473596747</v>
      </c>
      <c r="J123" s="4">
        <f t="shared" si="6"/>
        <v>-1.8613348582440216E-2</v>
      </c>
      <c r="K123" s="4">
        <f t="shared" si="6"/>
        <v>-2.1361648682644199E-2</v>
      </c>
      <c r="L123" s="4">
        <f t="shared" si="6"/>
        <v>0.2336638746728105</v>
      </c>
      <c r="M123" s="4">
        <f t="shared" si="6"/>
        <v>-3.0875597998550778E-2</v>
      </c>
      <c r="N123" s="4">
        <f t="shared" si="6"/>
        <v>0.92973555827254195</v>
      </c>
      <c r="O123" s="4">
        <f t="shared" si="6"/>
        <v>0.90662798176574699</v>
      </c>
      <c r="P123" s="18"/>
      <c r="Q123" s="4">
        <f>IFERROR(Q122/Q10, 0)</f>
        <v>0.24565480897609215</v>
      </c>
    </row>
    <row r="124" spans="1:17" x14ac:dyDescent="0.3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x14ac:dyDescent="0.3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ht="15" thickBot="1" x14ac:dyDescent="0.35">
      <c r="A126" s="6"/>
      <c r="B126" s="17" t="s">
        <v>294</v>
      </c>
      <c r="C126" s="17"/>
      <c r="D126" s="8">
        <f t="shared" ref="D126:O126" si="7">IFERROR(SUM(D122:D125), 0)</f>
        <v>-59982.044863934723</v>
      </c>
      <c r="E126" s="8">
        <f t="shared" si="7"/>
        <v>192994.40812970811</v>
      </c>
      <c r="F126" s="8">
        <f t="shared" si="7"/>
        <v>54049.635543211778</v>
      </c>
      <c r="G126" s="8">
        <f t="shared" si="7"/>
        <v>79325.80594251529</v>
      </c>
      <c r="H126" s="8">
        <f t="shared" si="7"/>
        <v>23562.568818434738</v>
      </c>
      <c r="I126" s="8">
        <f t="shared" si="7"/>
        <v>76310.227094914735</v>
      </c>
      <c r="J126" s="8">
        <f t="shared" si="7"/>
        <v>-4915.897040713955</v>
      </c>
      <c r="K126" s="8">
        <f t="shared" si="7"/>
        <v>-5129.1241035410158</v>
      </c>
      <c r="L126" s="8">
        <f t="shared" si="7"/>
        <v>60180.130921982338</v>
      </c>
      <c r="M126" s="8">
        <f t="shared" si="7"/>
        <v>-7895.9093029633859</v>
      </c>
      <c r="N126" s="8">
        <f t="shared" si="7"/>
        <v>245732.82699366595</v>
      </c>
      <c r="O126" s="8">
        <f t="shared" si="7"/>
        <v>231561.85282278946</v>
      </c>
      <c r="Q126" s="8">
        <f>IFERROR(SUM(Q122:Q125), 0)</f>
        <v>885792.0567692084</v>
      </c>
    </row>
    <row r="127" spans="1:17" ht="15" thickTop="1" x14ac:dyDescent="0.3">
      <c r="A127" s="5"/>
      <c r="C127" s="5"/>
      <c r="D127" s="4">
        <f t="shared" ref="D127:O127" si="8">IFERROR(D126/D10, 0)</f>
        <v>-0.38486640409167899</v>
      </c>
      <c r="E127" s="4">
        <f t="shared" si="8"/>
        <v>0.44813074867335084</v>
      </c>
      <c r="F127" s="4">
        <f t="shared" si="8"/>
        <v>0.17554378193168374</v>
      </c>
      <c r="G127" s="4">
        <f t="shared" si="8"/>
        <v>0.16594286247831894</v>
      </c>
      <c r="H127" s="4">
        <f t="shared" si="8"/>
        <v>8.881876948540425E-2</v>
      </c>
      <c r="I127" s="4">
        <f t="shared" si="8"/>
        <v>0.17709532572519923</v>
      </c>
      <c r="J127" s="4">
        <f t="shared" si="8"/>
        <v>-1.8613419059517824E-2</v>
      </c>
      <c r="K127" s="4">
        <f t="shared" si="8"/>
        <v>-2.1361737649478633E-2</v>
      </c>
      <c r="L127" s="4">
        <f t="shared" si="8"/>
        <v>0.23366478193268986</v>
      </c>
      <c r="M127" s="4">
        <f t="shared" si="8"/>
        <v>-3.0875718732749073E-2</v>
      </c>
      <c r="N127" s="4">
        <f t="shared" si="8"/>
        <v>0.92973907596079486</v>
      </c>
      <c r="O127" s="4">
        <f t="shared" si="8"/>
        <v>0.90663153147614006</v>
      </c>
      <c r="P127" s="18"/>
      <c r="Q127" s="4">
        <f>IFERROR(Q126/Q10, 0)</f>
        <v>0.24565487710303169</v>
      </c>
    </row>
    <row r="128" spans="1:17" x14ac:dyDescent="0.3">
      <c r="A128" s="5"/>
      <c r="B128" s="28">
        <v>44575.850671759261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Q128" s="13"/>
    </row>
    <row r="129" spans="1:17" x14ac:dyDescent="0.3">
      <c r="A129" s="5"/>
      <c r="B129" s="26" t="s">
        <v>54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Q129" s="13"/>
    </row>
    <row r="130" spans="1:17" x14ac:dyDescent="0.3">
      <c r="A130" s="5"/>
      <c r="B130" s="3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Q130" s="13"/>
    </row>
    <row r="131" spans="1:17" x14ac:dyDescent="0.3"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Q13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","315", " - ", "Bookstore Retail")</f>
        <v>Department 315 - Bookstore Retail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124040.73</v>
      </c>
      <c r="E10" s="3">
        <f>SUM(OSRRefD11x_1)</f>
        <v>395630.21</v>
      </c>
      <c r="F10" s="3">
        <f>SUM(OSRRefD11x_2)</f>
        <v>285269.82</v>
      </c>
      <c r="G10" s="3">
        <f>SUM(OSRRefD11x_3)</f>
        <v>449676.7</v>
      </c>
      <c r="H10" s="3">
        <f>SUM(OSRRefD11x_4)</f>
        <v>235903.39</v>
      </c>
      <c r="I10" s="3">
        <f>SUM(OSRRefD11x_5)</f>
        <v>373398.06000000006</v>
      </c>
      <c r="J10" s="3">
        <f>SUM(OSRRefE11x_0)</f>
        <v>242018</v>
      </c>
      <c r="K10" s="3">
        <f>SUM(OSRRefE11x_1)</f>
        <v>216005</v>
      </c>
      <c r="L10" s="3">
        <f>SUM(OSRRefE11x_2)</f>
        <v>229580</v>
      </c>
      <c r="M10" s="3">
        <f>SUM(OSRRefE11x_3)</f>
        <v>195077</v>
      </c>
      <c r="N10" s="3">
        <f>SUM(OSRRefE11x_4)</f>
        <v>201585</v>
      </c>
      <c r="O10" s="3">
        <f>SUM(OSRRefE11x_5)</f>
        <v>194754</v>
      </c>
      <c r="P10" s="24"/>
      <c r="Q10" s="3">
        <f>SUM(OSRRefG11x)</f>
        <v>3142937.91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--118177.59</f>
        <v>118177.59</v>
      </c>
      <c r="E11" s="2">
        <f>--377298.06</f>
        <v>377298.06</v>
      </c>
      <c r="F11" s="2">
        <f>--247528.61</f>
        <v>247528.61</v>
      </c>
      <c r="G11" s="2">
        <f>--402019.25</f>
        <v>402019.25</v>
      </c>
      <c r="H11" s="2">
        <f>--212367.92</f>
        <v>212367.92</v>
      </c>
      <c r="I11" s="2">
        <f>--386085.06</f>
        <v>386085.06</v>
      </c>
      <c r="J11" s="2">
        <v>242018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3022495.49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--9614.79</f>
        <v>9614.7900000000009</v>
      </c>
      <c r="E12" s="2">
        <f>--25658.79</f>
        <v>25658.79</v>
      </c>
      <c r="F12" s="2">
        <f>--48110.96</f>
        <v>48110.96</v>
      </c>
      <c r="G12" s="2">
        <f>--62874.2</f>
        <v>62874.2</v>
      </c>
      <c r="H12" s="2">
        <f>--38141.75</f>
        <v>38141.75</v>
      </c>
      <c r="I12" s="2">
        <f>--43630.31</f>
        <v>43630.31</v>
      </c>
      <c r="J12" s="2"/>
      <c r="K12" s="2"/>
      <c r="L12" s="2"/>
      <c r="M12" s="2"/>
      <c r="N12" s="2"/>
      <c r="O12" s="2"/>
      <c r="Q12" s="2">
        <f>SUM(OSRRefD11_1x)+IFERROR(SUM(OSRRefE11_1x),0)</f>
        <v>228030.8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-3631.8</f>
        <v>-3631.8</v>
      </c>
      <c r="E13" s="2">
        <f>-7228.29</f>
        <v>-7228.29</v>
      </c>
      <c r="F13" s="2">
        <f>-10028.97</f>
        <v>-10028.969999999999</v>
      </c>
      <c r="G13" s="2">
        <f>-8294.97</f>
        <v>-8294.9699999999993</v>
      </c>
      <c r="H13" s="2">
        <f>-8320.43</f>
        <v>-8320.43</v>
      </c>
      <c r="I13" s="2">
        <f>-12312.36</f>
        <v>-12312.36</v>
      </c>
      <c r="J13" s="2"/>
      <c r="K13" s="2"/>
      <c r="L13" s="2"/>
      <c r="M13" s="2"/>
      <c r="N13" s="2"/>
      <c r="O13" s="2"/>
      <c r="Q13" s="2">
        <f>SUM(OSRRefD11_2x)+IFERROR(SUM(OSRRefE11_2x),0)</f>
        <v>-49816.82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>
        <f>-168.79</f>
        <v>-168.79</v>
      </c>
      <c r="J14" s="2"/>
      <c r="K14" s="2"/>
      <c r="L14" s="2"/>
      <c r="M14" s="2"/>
      <c r="N14" s="2"/>
      <c r="O14" s="2"/>
      <c r="Q14" s="2">
        <f>SUM(OSRRefD11_3x)+IFERROR(SUM(OSRRefE11_3x),0)</f>
        <v>-1276.1999999999998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-6586.45</f>
        <v>-6586.45</v>
      </c>
      <c r="H15" s="2">
        <f>-6072.75</f>
        <v>-6072.75</v>
      </c>
      <c r="I15" s="2">
        <f>-43836.16</f>
        <v>-43836.160000000003</v>
      </c>
      <c r="J15" s="2"/>
      <c r="K15" s="2"/>
      <c r="L15" s="2"/>
      <c r="M15" s="2"/>
      <c r="N15" s="2"/>
      <c r="O15" s="2"/>
      <c r="Q15" s="2">
        <f>SUM(OSRRefD11_4x)+IFERROR(SUM(OSRRefE11_4x),0)</f>
        <v>-56495.360000000001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66737.360000000015</v>
      </c>
      <c r="E17" s="3">
        <f>SUM(OSRRefD14x_1)</f>
        <v>163570.48000000004</v>
      </c>
      <c r="F17" s="3">
        <f>SUM(OSRRefD14x_2)</f>
        <v>134223.49</v>
      </c>
      <c r="G17" s="3">
        <f>SUM(OSRRefD14x_3)</f>
        <v>259592.27</v>
      </c>
      <c r="H17" s="3">
        <f>SUM(OSRRefD14x_4)</f>
        <v>110780</v>
      </c>
      <c r="I17" s="3">
        <f>SUM(OSRRefD14x_5)</f>
        <v>185783.58</v>
      </c>
      <c r="J17" s="3">
        <f>SUM(OSRRefE14x_0)</f>
        <v>121244</v>
      </c>
      <c r="K17" s="3">
        <f>SUM(OSRRefE14x_1)</f>
        <v>109125</v>
      </c>
      <c r="L17" s="3">
        <f>SUM(OSRRefE14x_2)</f>
        <v>112808</v>
      </c>
      <c r="M17" s="3">
        <f>SUM(OSRRefE14x_3)</f>
        <v>95985</v>
      </c>
      <c r="N17" s="3">
        <f>SUM(OSRRefE14x_4)</f>
        <v>103318</v>
      </c>
      <c r="O17" s="3">
        <f>SUM(OSRRefE14x_5)</f>
        <v>107948</v>
      </c>
      <c r="Q17" s="3">
        <f>SUM(OSRRefG14x)</f>
        <v>1571115.18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63702.01</v>
      </c>
      <c r="F18" s="2">
        <v>133581.15</v>
      </c>
      <c r="G18" s="2">
        <v>445922.98</v>
      </c>
      <c r="H18" s="2">
        <v>109123.35</v>
      </c>
      <c r="I18" s="2">
        <v>210648.98</v>
      </c>
      <c r="J18" s="2">
        <v>121244</v>
      </c>
      <c r="K18" s="2">
        <v>109125</v>
      </c>
      <c r="L18" s="2">
        <v>112808</v>
      </c>
      <c r="M18" s="2">
        <v>95985</v>
      </c>
      <c r="N18" s="2">
        <v>103318</v>
      </c>
      <c r="O18" s="2">
        <v>107948</v>
      </c>
      <c r="Q18" s="2">
        <f>SUM(OSRRefD14_0x)+IFERROR(SUM(OSRRefE14_0x),0)</f>
        <v>1693962.1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","5040", " - ","PURCHASES @ COST-LOGO CLOTHING")</f>
        <v xml:space="preserve">          5040 - PURCHASES @ COST-LOGO CLOTHING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","5041", " - ","PURCHASES @ COST-LOGO GIFTS")</f>
        <v xml:space="preserve">          5041 - PURCHASES @ COST-LOGO GIFTS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","5042", " - ","PURCHASES @ COST-EVERYDAY GIFT")</f>
        <v xml:space="preserve">          5042 - PURCHASES @ COST-EVERYDAY GIFT</v>
      </c>
      <c r="C24" s="22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","5043", " - ","PURCHASES @ COST-CARDS")</f>
        <v xml:space="preserve">          5043 - PURCHASES @ COST-CARDS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","5044", " - ","PURCHASES @ COST-ACCESSORIES")</f>
        <v xml:space="preserve">          5044 - PURCHASES @ COST-ACCESSORIES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","5045", " - ","PURCHASES @ COST-SPECIAL ORDER")</f>
        <v xml:space="preserve">          5045 - PURCHASES @ COST-SPECIAL ORDER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","5200", " - ","PURCHASES OFFSET")</f>
        <v xml:space="preserve">          5200 - PURCHASES OFFSET</v>
      </c>
      <c r="C28" s="22"/>
      <c r="D28" s="2">
        <v>-81956.95</v>
      </c>
      <c r="E28" s="2">
        <v>-66711.179999999993</v>
      </c>
      <c r="F28" s="2">
        <v>-136492.88</v>
      </c>
      <c r="G28" s="2">
        <v>-451294.36</v>
      </c>
      <c r="H28" s="2">
        <v>-119795.1</v>
      </c>
      <c r="I28" s="2">
        <v>-219133.53</v>
      </c>
      <c r="J28" s="2"/>
      <c r="K28" s="2"/>
      <c r="L28" s="2"/>
      <c r="M28" s="2"/>
      <c r="N28" s="2"/>
      <c r="O28" s="2"/>
      <c r="Q28" s="2">
        <f>SUM(OSRRefD14_10x)+IFERROR(SUM(OSRRefE14_10x),0)</f>
        <v>-1075384</v>
      </c>
    </row>
    <row r="29" spans="1:17" s="9" customFormat="1" hidden="1" outlineLevel="1" x14ac:dyDescent="0.3">
      <c r="A29" s="23"/>
      <c r="B29" s="10" t="str">
        <f>CONCATENATE("          ","5300", " - ","COG$ OFFSET")</f>
        <v xml:space="preserve">          5300 - COG$ OFFSET</v>
      </c>
      <c r="C29" s="22"/>
      <c r="D29" s="2">
        <v>66737.36</v>
      </c>
      <c r="E29" s="2">
        <v>163570.48000000001</v>
      </c>
      <c r="F29" s="2">
        <v>134223.49</v>
      </c>
      <c r="G29" s="2">
        <v>259592.27</v>
      </c>
      <c r="H29" s="2">
        <v>110780</v>
      </c>
      <c r="I29" s="2">
        <v>185783.58</v>
      </c>
      <c r="J29" s="2"/>
      <c r="K29" s="2"/>
      <c r="L29" s="2"/>
      <c r="M29" s="2"/>
      <c r="N29" s="2"/>
      <c r="O29" s="2"/>
      <c r="Q29" s="2">
        <f>SUM(OSRRefD14_11x)+IFERROR(SUM(OSRRefE14_11x),0)</f>
        <v>920687.17999999993</v>
      </c>
    </row>
    <row r="30" spans="1:17" s="9" customFormat="1" hidden="1" outlineLevel="1" x14ac:dyDescent="0.3">
      <c r="A30" s="23"/>
      <c r="B30" s="10" t="str">
        <f>CONCATENATE("          ","5500", " - ","FREIGHT-IN")</f>
        <v xml:space="preserve">          5500 - FREIGHT-IN</v>
      </c>
      <c r="C30" s="22"/>
      <c r="D30" s="2">
        <v>1401.32</v>
      </c>
      <c r="E30" s="2">
        <v>3009.17</v>
      </c>
      <c r="F30" s="2">
        <v>2911.73</v>
      </c>
      <c r="G30" s="2">
        <v>5371.38</v>
      </c>
      <c r="H30" s="2">
        <v>10671.75</v>
      </c>
      <c r="I30" s="2">
        <v>8484.5499999999993</v>
      </c>
      <c r="J30" s="2"/>
      <c r="K30" s="2"/>
      <c r="L30" s="2"/>
      <c r="M30" s="2"/>
      <c r="N30" s="2"/>
      <c r="O30" s="2"/>
      <c r="Q30" s="2">
        <f>SUM(OSRRefD14_12x)+IFERROR(SUM(OSRRefE14_12x),0)</f>
        <v>31849.899999999998</v>
      </c>
    </row>
    <row r="31" spans="1:17" s="9" customFormat="1" hidden="1" outlineLevel="1" x14ac:dyDescent="0.3">
      <c r="A31" s="23"/>
      <c r="B31" s="10" t="str">
        <f>CONCATENATE("          ","5527", " - ","FREIGHT-IN-SCHOOL SUPPLIES")</f>
        <v xml:space="preserve">          5527 - FREIGHT-IN-SCHOOL SUPPLIES</v>
      </c>
      <c r="C31" s="22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3"/>
      <c r="B32" s="10" t="str">
        <f>CONCATENATE("          ","5540", " - ","FREIGHT-IN-LOGO CLOTHING")</f>
        <v xml:space="preserve">          5540 - FREIGHT-IN-LOGO CLOTHING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","5541", " - ","FREIGHT-IN-LOGO GIFTS")</f>
        <v xml:space="preserve">          5541 - FREIGHT-IN-LOGO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","5542", " - ","FREIGHT-IN-EVERYDAY GIFTS")</f>
        <v xml:space="preserve">          5542 - FREIGHT-IN-EVERYDAY GIFTS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","5544", " - ","FREIGHT-IN-ACCESSORIES")</f>
        <v xml:space="preserve">          5544 - FREIGHT-IN-ACCESSORIES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","5545", " - ","FREIGHT-IN-SPECIAL ORDERS")</f>
        <v xml:space="preserve">          5545 - FREIGHT-IN-SPECIAL ORDERS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3">
      <c r="A38" s="6"/>
      <c r="B38" s="17" t="s">
        <v>105</v>
      </c>
      <c r="C38" s="17"/>
      <c r="D38" s="7">
        <f t="shared" ref="D38:O38" si="1">IFERROR(+D10-D17, 0)</f>
        <v>57303.369999999981</v>
      </c>
      <c r="E38" s="7">
        <f t="shared" si="1"/>
        <v>232059.72999999998</v>
      </c>
      <c r="F38" s="7">
        <f t="shared" si="1"/>
        <v>151046.33000000002</v>
      </c>
      <c r="G38" s="7">
        <f t="shared" si="1"/>
        <v>190084.43000000002</v>
      </c>
      <c r="H38" s="7">
        <f t="shared" si="1"/>
        <v>125123.39000000001</v>
      </c>
      <c r="I38" s="7">
        <f t="shared" si="1"/>
        <v>187614.48000000007</v>
      </c>
      <c r="J38" s="7">
        <f t="shared" si="1"/>
        <v>120774</v>
      </c>
      <c r="K38" s="7">
        <f t="shared" si="1"/>
        <v>106880</v>
      </c>
      <c r="L38" s="7">
        <f t="shared" si="1"/>
        <v>116772</v>
      </c>
      <c r="M38" s="7">
        <f t="shared" si="1"/>
        <v>99092</v>
      </c>
      <c r="N38" s="7">
        <f t="shared" si="1"/>
        <v>98267</v>
      </c>
      <c r="O38" s="7">
        <f t="shared" si="1"/>
        <v>86806</v>
      </c>
      <c r="Q38" s="7">
        <f>IFERROR(+Q10-Q17, 0)</f>
        <v>1571822.7300000002</v>
      </c>
    </row>
    <row r="39" spans="1:17" s="6" customFormat="1" x14ac:dyDescent="0.3">
      <c r="B39" s="16"/>
      <c r="C39" s="16"/>
      <c r="D39" s="4">
        <f t="shared" ref="D39:O39" si="2">IFERROR(D38/D10, 0)</f>
        <v>0.46197220864469263</v>
      </c>
      <c r="E39" s="4">
        <f t="shared" si="2"/>
        <v>0.58655715396455688</v>
      </c>
      <c r="F39" s="4">
        <f t="shared" si="2"/>
        <v>0.52948583905581048</v>
      </c>
      <c r="G39" s="4">
        <f t="shared" si="2"/>
        <v>0.42271354063930822</v>
      </c>
      <c r="H39" s="4">
        <f t="shared" si="2"/>
        <v>0.530400983216053</v>
      </c>
      <c r="I39" s="4">
        <f t="shared" si="2"/>
        <v>0.50245167315545247</v>
      </c>
      <c r="J39" s="4">
        <f t="shared" si="2"/>
        <v>0.49902899784313565</v>
      </c>
      <c r="K39" s="4">
        <f t="shared" si="2"/>
        <v>0.49480336103330941</v>
      </c>
      <c r="L39" s="4">
        <f t="shared" si="2"/>
        <v>0.50863315619827509</v>
      </c>
      <c r="M39" s="4">
        <f t="shared" si="2"/>
        <v>0.50796352209640294</v>
      </c>
      <c r="N39" s="4">
        <f t="shared" si="2"/>
        <v>0.48747178609519559</v>
      </c>
      <c r="O39" s="4">
        <f t="shared" si="2"/>
        <v>0.44572126888279573</v>
      </c>
      <c r="P39" s="18"/>
      <c r="Q39" s="4">
        <f>IFERROR(Q38/Q10, 0)</f>
        <v>0.5001125618800405</v>
      </c>
    </row>
    <row r="40" spans="1:17" x14ac:dyDescent="0.3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3">
      <c r="A41" s="6"/>
      <c r="B41" s="16" t="s">
        <v>255</v>
      </c>
      <c r="C41" s="6"/>
      <c r="D41" s="12">
        <f>SUM(OSRRefD20x_0)</f>
        <v>79291.010000000009</v>
      </c>
      <c r="E41" s="12">
        <f>SUM(OSRRefD20x_1)</f>
        <v>82435.01999999999</v>
      </c>
      <c r="F41" s="12">
        <f>SUM(OSRRefD20x_2)</f>
        <v>70582.309999999983</v>
      </c>
      <c r="G41" s="12">
        <f>SUM(OSRRefD20x_3)</f>
        <v>87608.65</v>
      </c>
      <c r="H41" s="12">
        <f>SUM(OSRRefD20x_4)</f>
        <v>62596.710000000006</v>
      </c>
      <c r="I41" s="12">
        <f>SUM(OSRRefD20x_5)</f>
        <v>69462.920000000013</v>
      </c>
      <c r="J41" s="12">
        <f>SUM(OSRRefE20x_0)</f>
        <v>103535.46949740386</v>
      </c>
      <c r="K41" s="12">
        <f>SUM(OSRRefE20x_1)</f>
        <v>78634.075597923074</v>
      </c>
      <c r="L41" s="12">
        <f>SUM(OSRRefE20x_2)</f>
        <v>79273.075597923074</v>
      </c>
      <c r="M41" s="12">
        <f>SUM(OSRRefE20x_3)</f>
        <v>110932.46949740386</v>
      </c>
      <c r="N41" s="12">
        <f>SUM(OSRRefE20x_4)</f>
        <v>80344.075597923074</v>
      </c>
      <c r="O41" s="12">
        <f>SUM(OSRRefE20x_5)</f>
        <v>79249.991637923085</v>
      </c>
      <c r="Q41" s="12">
        <f>SUM(OSRRefG20x)</f>
        <v>983945.77742649987</v>
      </c>
    </row>
    <row r="42" spans="1:17" s="35" customFormat="1" collapsed="1" x14ac:dyDescent="0.3">
      <c r="A42" s="34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12377.75</v>
      </c>
      <c r="E42" s="1">
        <f>SUM(OSRRefD21_0x_1)</f>
        <v>13757.34</v>
      </c>
      <c r="F42" s="1">
        <f>SUM(OSRRefD21_0x_2)</f>
        <v>12262.359999999999</v>
      </c>
      <c r="G42" s="1">
        <f>SUM(OSRRefD21_0x_3)</f>
        <v>15766.84</v>
      </c>
      <c r="H42" s="1">
        <f>SUM(OSRRefD21_0x_4)</f>
        <v>12180.270000000002</v>
      </c>
      <c r="I42" s="1">
        <f>SUM(OSRRefD21_0x_5)</f>
        <v>12134.150000000001</v>
      </c>
      <c r="J42" s="1">
        <f>SUM(OSRRefE21_0x_0)</f>
        <v>20883.481997403855</v>
      </c>
      <c r="K42" s="1">
        <f>SUM(OSRRefE21_0x_1)</f>
        <v>17751.285597923081</v>
      </c>
      <c r="L42" s="1">
        <f>SUM(OSRRefE21_0x_2)</f>
        <v>17751.285597923081</v>
      </c>
      <c r="M42" s="1">
        <f>SUM(OSRRefE21_0x_3)</f>
        <v>20883.481997403855</v>
      </c>
      <c r="N42" s="1">
        <f>SUM(OSRRefE21_0x_4)</f>
        <v>17751.285597923081</v>
      </c>
      <c r="O42" s="1">
        <f>SUM(OSRRefE21_0x_5)</f>
        <v>15491.201637923081</v>
      </c>
      <c r="Q42" s="2">
        <f>SUM(OSRRefD20_0x)+IFERROR(SUM(OSRRefE20_0x),0)</f>
        <v>188990.73242650001</v>
      </c>
    </row>
    <row r="43" spans="1:17" s="35" customFormat="1" hidden="1" outlineLevel="1" x14ac:dyDescent="0.3">
      <c r="A43" s="34"/>
      <c r="B43" s="10" t="str">
        <f>CONCATENATE("          ","6111", " - ","F.I.C.A.")</f>
        <v xml:space="preserve">          6111 - F.I.C.A.</v>
      </c>
      <c r="C43" s="14"/>
      <c r="D43" s="2">
        <v>2854.43</v>
      </c>
      <c r="E43" s="2">
        <v>3791.4</v>
      </c>
      <c r="F43" s="2">
        <v>2183.9299999999998</v>
      </c>
      <c r="G43" s="2">
        <v>2869.48</v>
      </c>
      <c r="H43" s="2">
        <v>1994.06</v>
      </c>
      <c r="I43" s="2">
        <v>1919.5</v>
      </c>
      <c r="J43" s="2">
        <v>5545.8134137500001</v>
      </c>
      <c r="K43" s="2">
        <v>4436.6507309999997</v>
      </c>
      <c r="L43" s="2">
        <v>4436.6507309999997</v>
      </c>
      <c r="M43" s="2">
        <v>5545.8134137500001</v>
      </c>
      <c r="N43" s="2">
        <v>4436.6507309999997</v>
      </c>
      <c r="O43" s="2">
        <v>2176.5667709999998</v>
      </c>
      <c r="P43" s="9"/>
      <c r="Q43" s="2">
        <f>SUM(OSRRefD21_0_0x)+IFERROR(SUM(OSRRefE21_0_0x),0)</f>
        <v>42190.945791499995</v>
      </c>
    </row>
    <row r="44" spans="1:17" s="35" customFormat="1" hidden="1" outlineLevel="1" x14ac:dyDescent="0.3">
      <c r="A44" s="34"/>
      <c r="B44" s="10" t="str">
        <f>CONCATENATE("          ","6112", " - ","COMPENSATION INSURANCE")</f>
        <v xml:space="preserve">          6112 - COMPENSATION INSURANCE</v>
      </c>
      <c r="C44" s="14"/>
      <c r="D44" s="2">
        <v>697.24</v>
      </c>
      <c r="E44" s="2">
        <v>881.59</v>
      </c>
      <c r="F44" s="2">
        <v>806.1</v>
      </c>
      <c r="G44" s="2">
        <v>1193.6300000000001</v>
      </c>
      <c r="H44" s="2">
        <v>797.22</v>
      </c>
      <c r="I44" s="2">
        <v>791.11</v>
      </c>
      <c r="J44" s="2">
        <v>1130.46765</v>
      </c>
      <c r="K44" s="2">
        <v>904.37411999999995</v>
      </c>
      <c r="L44" s="2">
        <v>904.37411999999995</v>
      </c>
      <c r="M44" s="2">
        <v>1130.46765</v>
      </c>
      <c r="N44" s="2">
        <v>904.37411999999995</v>
      </c>
      <c r="O44" s="2">
        <v>904.37411999999995</v>
      </c>
      <c r="P44" s="9"/>
      <c r="Q44" s="2">
        <f>SUM(OSRRefD21_0_1x)+IFERROR(SUM(OSRRefE21_0_1x),0)</f>
        <v>11045.32178</v>
      </c>
    </row>
    <row r="45" spans="1:17" s="35" customFormat="1" hidden="1" outlineLevel="1" x14ac:dyDescent="0.3">
      <c r="A45" s="34"/>
      <c r="B45" s="10" t="str">
        <f>CONCATENATE("          ","6113", " - ","GROUP INSURANCE")</f>
        <v xml:space="preserve">          6113 - GROUP INSURANCE</v>
      </c>
      <c r="C45" s="14"/>
      <c r="D45" s="2">
        <v>4284.43</v>
      </c>
      <c r="E45" s="2">
        <v>4284.43</v>
      </c>
      <c r="F45" s="2">
        <v>4306.93</v>
      </c>
      <c r="G45" s="2">
        <v>4284.43</v>
      </c>
      <c r="H45" s="2">
        <v>4284.43</v>
      </c>
      <c r="I45" s="2">
        <v>4284.43</v>
      </c>
      <c r="J45" s="2">
        <v>7393.6538461538503</v>
      </c>
      <c r="K45" s="2">
        <v>6784.4230769230799</v>
      </c>
      <c r="L45" s="2">
        <v>6784.4230769230799</v>
      </c>
      <c r="M45" s="2">
        <v>7393.6538461538503</v>
      </c>
      <c r="N45" s="2">
        <v>6784.4230769230799</v>
      </c>
      <c r="O45" s="2">
        <v>6784.4230769230799</v>
      </c>
      <c r="P45" s="9"/>
      <c r="Q45" s="2">
        <f>SUM(OSRRefD21_0_2x)+IFERROR(SUM(OSRRefE21_0_2x),0)</f>
        <v>67654.080000000016</v>
      </c>
    </row>
    <row r="46" spans="1:17" s="35" customFormat="1" hidden="1" outlineLevel="1" x14ac:dyDescent="0.3">
      <c r="A46" s="34"/>
      <c r="B46" s="10" t="str">
        <f>CONCATENATE("          ","6114", " - ","STATE UNEMPLOYMENT INSURANCE")</f>
        <v xml:space="preserve">          6114 - STATE UNEMPLOYMENT INSURANCE</v>
      </c>
      <c r="C46" s="14"/>
      <c r="D46" s="2">
        <v>122.49</v>
      </c>
      <c r="E46" s="2">
        <v>154.87</v>
      </c>
      <c r="F46" s="2">
        <v>141.61000000000001</v>
      </c>
      <c r="G46" s="2">
        <v>209.69</v>
      </c>
      <c r="H46" s="2">
        <v>140.05000000000001</v>
      </c>
      <c r="I46" s="2">
        <v>138.97999999999999</v>
      </c>
      <c r="J46" s="2">
        <v>152.1783375</v>
      </c>
      <c r="K46" s="2">
        <v>121.74267</v>
      </c>
      <c r="L46" s="2">
        <v>121.74267</v>
      </c>
      <c r="M46" s="2">
        <v>152.1783375</v>
      </c>
      <c r="N46" s="2">
        <v>121.74267</v>
      </c>
      <c r="O46" s="2">
        <v>121.74267</v>
      </c>
      <c r="P46" s="9"/>
      <c r="Q46" s="2">
        <f>SUM(OSRRefD21_0_3x)+IFERROR(SUM(OSRRefE21_0_3x),0)</f>
        <v>1699.017355</v>
      </c>
    </row>
    <row r="47" spans="1:17" s="35" customFormat="1" hidden="1" outlineLevel="1" x14ac:dyDescent="0.3">
      <c r="A47" s="34"/>
      <c r="B47" s="10" t="str">
        <f>CONCATENATE("          ","6115", " - ","P.E.R.S.")</f>
        <v xml:space="preserve">          6115 - P.E.R.S.</v>
      </c>
      <c r="C47" s="14"/>
      <c r="D47" s="2">
        <v>1490.59</v>
      </c>
      <c r="E47" s="2">
        <v>1490.59</v>
      </c>
      <c r="F47" s="2">
        <v>1490.59</v>
      </c>
      <c r="G47" s="2">
        <v>2235.89</v>
      </c>
      <c r="H47" s="2">
        <v>1550.21</v>
      </c>
      <c r="I47" s="2">
        <v>1550.21</v>
      </c>
      <c r="J47" s="2">
        <v>1509.03125</v>
      </c>
      <c r="K47" s="2">
        <v>1207.2249999999999</v>
      </c>
      <c r="L47" s="2">
        <v>1207.2249999999999</v>
      </c>
      <c r="M47" s="2">
        <v>1509.03125</v>
      </c>
      <c r="N47" s="2">
        <v>1207.2249999999999</v>
      </c>
      <c r="O47" s="2">
        <v>1207.2249999999999</v>
      </c>
      <c r="P47" s="9"/>
      <c r="Q47" s="2">
        <f>SUM(OSRRefD21_0_4x)+IFERROR(SUM(OSRRefE21_0_4x),0)</f>
        <v>17655.042499999996</v>
      </c>
    </row>
    <row r="48" spans="1:17" s="35" customFormat="1" hidden="1" outlineLevel="1" x14ac:dyDescent="0.3">
      <c r="A48" s="34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5" customFormat="1" hidden="1" outlineLevel="1" x14ac:dyDescent="0.3">
      <c r="A49" s="34"/>
      <c r="B49" s="10" t="str">
        <f>CONCATENATE("          ","6118", " - ","VACATION")</f>
        <v xml:space="preserve">          6118 - VACATION</v>
      </c>
      <c r="C49" s="14"/>
      <c r="D49" s="2">
        <v>1573.42</v>
      </c>
      <c r="E49" s="2">
        <v>1573.42</v>
      </c>
      <c r="F49" s="2">
        <v>1599.65</v>
      </c>
      <c r="G49" s="2">
        <v>2438.8200000000002</v>
      </c>
      <c r="H49" s="2">
        <v>1690.93</v>
      </c>
      <c r="I49" s="2">
        <v>1690.93</v>
      </c>
      <c r="J49" s="2">
        <v>1392.34375</v>
      </c>
      <c r="K49" s="2">
        <v>1113.875</v>
      </c>
      <c r="L49" s="2">
        <v>1113.875</v>
      </c>
      <c r="M49" s="2">
        <v>1392.34375</v>
      </c>
      <c r="N49" s="2">
        <v>1113.875</v>
      </c>
      <c r="O49" s="2">
        <v>1113.875</v>
      </c>
      <c r="P49" s="9"/>
      <c r="Q49" s="2">
        <f>SUM(OSRRefD21_0_6x)+IFERROR(SUM(OSRRefE21_0_6x),0)</f>
        <v>17807.357499999998</v>
      </c>
    </row>
    <row r="50" spans="1:17" s="35" customFormat="1" hidden="1" outlineLevel="1" x14ac:dyDescent="0.3">
      <c r="A50" s="34"/>
      <c r="B50" s="10" t="str">
        <f>CONCATENATE("          ","6119", " - ","SICK LEAVE")</f>
        <v xml:space="preserve">          6119 - SICK LEAVE</v>
      </c>
      <c r="C50" s="14"/>
      <c r="D50" s="2">
        <v>1066.4000000000001</v>
      </c>
      <c r="E50" s="2">
        <v>1066.4000000000001</v>
      </c>
      <c r="F50" s="2">
        <v>1066.4000000000001</v>
      </c>
      <c r="G50" s="2">
        <v>1599.6</v>
      </c>
      <c r="H50" s="2">
        <v>1109.04</v>
      </c>
      <c r="I50" s="2">
        <v>1109.04</v>
      </c>
      <c r="J50" s="2">
        <v>2884.9937500000001</v>
      </c>
      <c r="K50" s="2">
        <v>2307.9949999999999</v>
      </c>
      <c r="L50" s="2">
        <v>2307.9949999999999</v>
      </c>
      <c r="M50" s="2">
        <v>2884.9937500000001</v>
      </c>
      <c r="N50" s="2">
        <v>2307.9949999999999</v>
      </c>
      <c r="O50" s="2">
        <v>2307.9949999999999</v>
      </c>
      <c r="P50" s="9"/>
      <c r="Q50" s="2">
        <f>SUM(OSRRefD21_0_7x)+IFERROR(SUM(OSRRefE21_0_7x),0)</f>
        <v>22018.8475</v>
      </c>
    </row>
    <row r="51" spans="1:17" s="35" customFormat="1" hidden="1" outlineLevel="1" x14ac:dyDescent="0.3">
      <c r="A51" s="34"/>
      <c r="B51" s="10" t="str">
        <f>CONCATENATE("          ","6156", " - ","EMPLOYEE MEALS")</f>
        <v xml:space="preserve">          6156 - EMPLOYEE MEALS</v>
      </c>
      <c r="C51" s="14"/>
      <c r="D51" s="2">
        <v>288.75</v>
      </c>
      <c r="E51" s="2">
        <v>514.64</v>
      </c>
      <c r="F51" s="2">
        <v>667.15</v>
      </c>
      <c r="G51" s="2">
        <v>935.3</v>
      </c>
      <c r="H51" s="2">
        <v>614.33000000000004</v>
      </c>
      <c r="I51" s="2">
        <v>649.95000000000005</v>
      </c>
      <c r="J51" s="2">
        <v>875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8920.119999999999</v>
      </c>
    </row>
    <row r="52" spans="1:17" s="35" customFormat="1" collapsed="1" x14ac:dyDescent="0.3">
      <c r="A52" s="34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52676.639999999999</v>
      </c>
      <c r="E52" s="1">
        <f>SUM(OSRRefD21_1x_1)</f>
        <v>61015.09</v>
      </c>
      <c r="F52" s="1">
        <f>SUM(OSRRefD21_1x_2)</f>
        <v>54230.46</v>
      </c>
      <c r="G52" s="1">
        <f>SUM(OSRRefD21_1x_3)</f>
        <v>57243.619999999995</v>
      </c>
      <c r="H52" s="1">
        <f>SUM(OSRRefD21_1x_4)</f>
        <v>46301.320000000007</v>
      </c>
      <c r="I52" s="1">
        <f>SUM(OSRRefD21_1x_5)</f>
        <v>51382.759999999995</v>
      </c>
      <c r="J52" s="1">
        <f>SUM(OSRRefE21_1x_0)</f>
        <v>69295.987500000003</v>
      </c>
      <c r="K52" s="1">
        <f>SUM(OSRRefE21_1x_1)</f>
        <v>55436.79</v>
      </c>
      <c r="L52" s="1">
        <f>SUM(OSRRefE21_1x_2)</f>
        <v>55436.79</v>
      </c>
      <c r="M52" s="1">
        <f>SUM(OSRRefE21_1x_3)</f>
        <v>69295.987500000003</v>
      </c>
      <c r="N52" s="1">
        <f>SUM(OSRRefE21_1x_4)</f>
        <v>55436.79</v>
      </c>
      <c r="O52" s="1">
        <f>SUM(OSRRefE21_1x_5)</f>
        <v>55436.79</v>
      </c>
      <c r="Q52" s="2">
        <f>SUM(OSRRefD20_1x)+IFERROR(SUM(OSRRefE20_1x),0)</f>
        <v>683189.02499999991</v>
      </c>
    </row>
    <row r="53" spans="1:17" s="35" customFormat="1" hidden="1" outlineLevel="1" x14ac:dyDescent="0.3">
      <c r="A53" s="34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5" customFormat="1" hidden="1" outlineLevel="1" x14ac:dyDescent="0.3">
      <c r="A54" s="34"/>
      <c r="B54" s="10" t="str">
        <f>CONCATENATE("          ","6002", " - ","STAFF SALARIES")</f>
        <v xml:space="preserve">          6002 - STAFF SALARIES</v>
      </c>
      <c r="C54" s="14"/>
      <c r="D54" s="2">
        <v>15720.22</v>
      </c>
      <c r="E54" s="2">
        <v>15956.48</v>
      </c>
      <c r="F54" s="2">
        <v>16378.33</v>
      </c>
      <c r="G54" s="2">
        <v>14934.13</v>
      </c>
      <c r="H54" s="2">
        <v>14156.72</v>
      </c>
      <c r="I54" s="2">
        <v>15353.2</v>
      </c>
      <c r="J54" s="2">
        <v>15792.1875</v>
      </c>
      <c r="K54" s="2">
        <v>12633.75</v>
      </c>
      <c r="L54" s="2">
        <v>12633.75</v>
      </c>
      <c r="M54" s="2">
        <v>15792.1875</v>
      </c>
      <c r="N54" s="2">
        <v>12633.75</v>
      </c>
      <c r="O54" s="2">
        <v>12633.75</v>
      </c>
      <c r="P54" s="9"/>
      <c r="Q54" s="2">
        <f>SUM(OSRRefD21_1_1x)+IFERROR(SUM(OSRRefE21_1_1x),0)</f>
        <v>174618.45499999999</v>
      </c>
    </row>
    <row r="55" spans="1:17" s="35" customFormat="1" hidden="1" outlineLevel="1" x14ac:dyDescent="0.3">
      <c r="A55" s="34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/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5" customFormat="1" hidden="1" outlineLevel="1" x14ac:dyDescent="0.3">
      <c r="A56" s="34"/>
      <c r="B56" s="10" t="str">
        <f>CONCATENATE("          ","6004", " - ","STAFF HOURLY")</f>
        <v xml:space="preserve">          6004 - STAFF HOURLY</v>
      </c>
      <c r="C56" s="14"/>
      <c r="D56" s="2">
        <v>8114.48</v>
      </c>
      <c r="E56" s="2">
        <v>8099.25</v>
      </c>
      <c r="F56" s="2">
        <v>8783.39</v>
      </c>
      <c r="G56" s="2">
        <v>10729.89</v>
      </c>
      <c r="H56" s="2">
        <v>6570.37</v>
      </c>
      <c r="I56" s="2">
        <v>6934.8</v>
      </c>
      <c r="J56" s="2">
        <v>16588.8</v>
      </c>
      <c r="K56" s="2">
        <v>13271.04</v>
      </c>
      <c r="L56" s="2">
        <v>13271.04</v>
      </c>
      <c r="M56" s="2">
        <v>16588.8</v>
      </c>
      <c r="N56" s="2">
        <v>13271.04</v>
      </c>
      <c r="O56" s="2">
        <v>13271.04</v>
      </c>
      <c r="P56" s="9"/>
      <c r="Q56" s="2">
        <f>SUM(OSRRefD21_1_3x)+IFERROR(SUM(OSRRefE21_1_3x),0)</f>
        <v>135493.94</v>
      </c>
    </row>
    <row r="57" spans="1:17" s="35" customFormat="1" hidden="1" outlineLevel="1" x14ac:dyDescent="0.3">
      <c r="A57" s="34"/>
      <c r="B57" s="10" t="str">
        <f>CONCATENATE("          ","6005", " - ","TEMPORARY WAGES-HOURLY")</f>
        <v xml:space="preserve">          6005 - TEMPORARY WAGES-HOURLY</v>
      </c>
      <c r="C57" s="14"/>
      <c r="D57" s="2">
        <v>2014.56</v>
      </c>
      <c r="E57" s="2">
        <v>2931.82</v>
      </c>
      <c r="F57" s="2">
        <v>2868.78</v>
      </c>
      <c r="G57" s="2">
        <v>3627.62</v>
      </c>
      <c r="H57" s="2">
        <v>2971.48</v>
      </c>
      <c r="I57" s="2">
        <v>2228.7399999999998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16643</v>
      </c>
    </row>
    <row r="58" spans="1:17" s="35" customFormat="1" hidden="1" outlineLevel="1" x14ac:dyDescent="0.3">
      <c r="A58" s="34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5" customFormat="1" hidden="1" outlineLevel="1" x14ac:dyDescent="0.3">
      <c r="A59" s="34"/>
      <c r="B59" s="10" t="str">
        <f>CONCATENATE("          ","6007", " - ","STUDENT HOURLY")</f>
        <v xml:space="preserve">          6007 - STUDENT HOURLY</v>
      </c>
      <c r="C59" s="14"/>
      <c r="D59" s="2">
        <v>19302.939999999999</v>
      </c>
      <c r="E59" s="2">
        <v>24856.84</v>
      </c>
      <c r="F59" s="2">
        <v>20833.89</v>
      </c>
      <c r="G59" s="2">
        <v>20928.32</v>
      </c>
      <c r="H59" s="2">
        <v>17324.09</v>
      </c>
      <c r="I59" s="2">
        <v>22155.439999999999</v>
      </c>
      <c r="J59" s="2">
        <v>36915</v>
      </c>
      <c r="K59" s="2">
        <v>29532</v>
      </c>
      <c r="L59" s="2">
        <v>29532</v>
      </c>
      <c r="M59" s="2">
        <v>36915</v>
      </c>
      <c r="N59" s="2">
        <v>29532</v>
      </c>
      <c r="O59" s="2">
        <v>0</v>
      </c>
      <c r="P59" s="9"/>
      <c r="Q59" s="2">
        <f>SUM(OSRRefD21_1_6x)+IFERROR(SUM(OSRRefE21_1_6x),0)</f>
        <v>287827.52</v>
      </c>
    </row>
    <row r="60" spans="1:17" s="35" customFormat="1" hidden="1" outlineLevel="1" x14ac:dyDescent="0.3">
      <c r="A60" s="34"/>
      <c r="B60" s="10" t="str">
        <f>CONCATENATE("          ","6008", " - ","STUDENT HOURLY-FICA EXEMPT")</f>
        <v xml:space="preserve">          6008 - STUDENT HOURLY-FICA EXEMPT</v>
      </c>
      <c r="C60" s="14"/>
      <c r="D60" s="2">
        <v>7524.44</v>
      </c>
      <c r="E60" s="2">
        <v>9170.7000000000007</v>
      </c>
      <c r="F60" s="2">
        <v>5366.07</v>
      </c>
      <c r="G60" s="2">
        <v>7023.66</v>
      </c>
      <c r="H60" s="2">
        <v>5278.66</v>
      </c>
      <c r="I60" s="2">
        <v>4710.58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29532</v>
      </c>
      <c r="P60" s="9"/>
      <c r="Q60" s="2">
        <f>SUM(OSRRefD21_1_7x)+IFERROR(SUM(OSRRefE21_1_7x),0)</f>
        <v>68606.11</v>
      </c>
    </row>
    <row r="61" spans="1:17" s="35" customFormat="1" hidden="1" outlineLevel="1" x14ac:dyDescent="0.3">
      <c r="A61" s="34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5" customFormat="1" hidden="1" outlineLevel="1" x14ac:dyDescent="0.3">
      <c r="A62" s="34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5" customFormat="1" collapsed="1" x14ac:dyDescent="0.3">
      <c r="A63" s="34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198.63</v>
      </c>
      <c r="E63" s="1">
        <f>SUM(OSRRefD21_2x_1)</f>
        <v>1068.1199999999999</v>
      </c>
      <c r="F63" s="1">
        <f>SUM(OSRRefD21_2x_2)</f>
        <v>110.26</v>
      </c>
      <c r="G63" s="1">
        <f>SUM(OSRRefD21_2x_3)</f>
        <v>303.05</v>
      </c>
      <c r="H63" s="1">
        <f>SUM(OSRRefD21_2x_4)</f>
        <v>348.39</v>
      </c>
      <c r="I63" s="1">
        <f>SUM(OSRRefD21_2x_5)</f>
        <v>158.76</v>
      </c>
      <c r="J63" s="1">
        <f>SUM(OSRRefE21_2x_0)</f>
        <v>50</v>
      </c>
      <c r="K63" s="1">
        <f>SUM(OSRRefE21_2x_1)</f>
        <v>50</v>
      </c>
      <c r="L63" s="1">
        <f>SUM(OSRRefE21_2x_2)</f>
        <v>50</v>
      </c>
      <c r="M63" s="1">
        <f>SUM(OSRRefE21_2x_3)</f>
        <v>50</v>
      </c>
      <c r="N63" s="1">
        <f>SUM(OSRRefE21_2x_4)</f>
        <v>50</v>
      </c>
      <c r="O63" s="1">
        <f>SUM(OSRRefE21_2x_5)</f>
        <v>50</v>
      </c>
      <c r="Q63" s="2">
        <f>SUM(OSRRefD20_2x)+IFERROR(SUM(OSRRefE20_2x),0)</f>
        <v>2487.21</v>
      </c>
    </row>
    <row r="64" spans="1:17" s="35" customFormat="1" hidden="1" outlineLevel="1" x14ac:dyDescent="0.3">
      <c r="A64" s="34"/>
      <c r="B64" s="10" t="str">
        <f>CONCATENATE("          ","6362", " - ","ADVERTISING EXPENSE")</f>
        <v xml:space="preserve">          6362 - ADVERTISING EXPENSE</v>
      </c>
      <c r="C64" s="14"/>
      <c r="D64" s="2">
        <v>198.63</v>
      </c>
      <c r="E64" s="2">
        <v>1068.1199999999999</v>
      </c>
      <c r="F64" s="2">
        <v>110.26</v>
      </c>
      <c r="G64" s="2">
        <v>303.05</v>
      </c>
      <c r="H64" s="2">
        <v>348.39</v>
      </c>
      <c r="I64" s="2">
        <v>158.76</v>
      </c>
      <c r="J64" s="2">
        <v>50</v>
      </c>
      <c r="K64" s="2">
        <v>50</v>
      </c>
      <c r="L64" s="2">
        <v>50</v>
      </c>
      <c r="M64" s="2">
        <v>50</v>
      </c>
      <c r="N64" s="2">
        <v>50</v>
      </c>
      <c r="O64" s="2">
        <v>50</v>
      </c>
      <c r="P64" s="9"/>
      <c r="Q64" s="2">
        <f>SUM(OSRRefD21_2_0x)+IFERROR(SUM(OSRRefE21_2_0x),0)</f>
        <v>2487.21</v>
      </c>
    </row>
    <row r="65" spans="1:17" s="35" customFormat="1" collapsed="1" x14ac:dyDescent="0.3">
      <c r="A65" s="34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</v>
      </c>
      <c r="E65" s="1">
        <f>SUM(OSRRefD21_3x_1)</f>
        <v>0</v>
      </c>
      <c r="F65" s="1">
        <f>SUM(OSRRefD21_3x_2)</f>
        <v>0</v>
      </c>
      <c r="G65" s="1">
        <f>SUM(OSRRefD21_3x_3)</f>
        <v>0</v>
      </c>
      <c r="H65" s="1">
        <f>SUM(OSRRefD21_3x_4)</f>
        <v>0</v>
      </c>
      <c r="I65" s="1">
        <f>SUM(OSRRefD21_3x_5)</f>
        <v>0</v>
      </c>
      <c r="J65" s="1">
        <f>SUM(OSRRefE21_3x_0)</f>
        <v>0</v>
      </c>
      <c r="K65" s="1">
        <f>SUM(OSRRefE21_3x_1)</f>
        <v>0</v>
      </c>
      <c r="L65" s="1">
        <f>SUM(OSRRefE21_3x_2)</f>
        <v>0</v>
      </c>
      <c r="M65" s="1">
        <f>SUM(OSRRefE21_3x_3)</f>
        <v>0</v>
      </c>
      <c r="N65" s="1">
        <f>SUM(OSRRefE21_3x_4)</f>
        <v>0</v>
      </c>
      <c r="O65" s="1">
        <f>SUM(OSRRefE21_3x_5)</f>
        <v>0</v>
      </c>
      <c r="Q65" s="2">
        <f>SUM(OSRRefD20_3x)+IFERROR(SUM(OSRRefE20_3x),0)</f>
        <v>0</v>
      </c>
    </row>
    <row r="66" spans="1:17" s="35" customFormat="1" hidden="1" outlineLevel="1" x14ac:dyDescent="0.3">
      <c r="A66" s="34"/>
      <c r="B66" s="10" t="str">
        <f>CONCATENATE("          ","6272", " - ","CASH (OVER/SHORT)")</f>
        <v xml:space="preserve">          6272 - CASH (OVER/SHORT)</v>
      </c>
      <c r="C66" s="14"/>
      <c r="D66" s="2"/>
      <c r="E66" s="2"/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SUM(OSRRefD21_3_0x)+IFERROR(SUM(OSRRefE21_3_0x),0)</f>
        <v>0</v>
      </c>
    </row>
    <row r="67" spans="1:17" s="35" customFormat="1" collapsed="1" x14ac:dyDescent="0.3">
      <c r="A67" s="34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0</v>
      </c>
      <c r="E67" s="1">
        <f>SUM(OSRRefD21_4x_1)</f>
        <v>0</v>
      </c>
      <c r="F67" s="1">
        <f>SUM(OSRRefD21_4x_2)</f>
        <v>0</v>
      </c>
      <c r="G67" s="1">
        <f>SUM(OSRRefD21_4x_3)</f>
        <v>0</v>
      </c>
      <c r="H67" s="1">
        <f>SUM(OSRRefD21_4x_4)</f>
        <v>0</v>
      </c>
      <c r="I67" s="1">
        <f>SUM(OSRRefD21_4x_5)</f>
        <v>0</v>
      </c>
      <c r="J67" s="1">
        <f>SUM(OSRRefE21_4x_0)</f>
        <v>0</v>
      </c>
      <c r="K67" s="1">
        <f>SUM(OSRRefE21_4x_1)</f>
        <v>0</v>
      </c>
      <c r="L67" s="1">
        <f>SUM(OSRRefE21_4x_2)</f>
        <v>0</v>
      </c>
      <c r="M67" s="1">
        <f>SUM(OSRRefE21_4x_3)</f>
        <v>0</v>
      </c>
      <c r="N67" s="1">
        <f>SUM(OSRRefE21_4x_4)</f>
        <v>0</v>
      </c>
      <c r="O67" s="1">
        <f>SUM(OSRRefE21_4x_5)</f>
        <v>0</v>
      </c>
      <c r="Q67" s="2">
        <f>SUM(OSRRefD20_4x)+IFERROR(SUM(OSRRefE20_4x),0)</f>
        <v>0</v>
      </c>
    </row>
    <row r="68" spans="1:17" s="35" customFormat="1" hidden="1" outlineLevel="1" x14ac:dyDescent="0.3">
      <c r="A68" s="34"/>
      <c r="B68" s="10" t="str">
        <f>CONCATENATE("          ","6381", " - ","BANK/CREDIT CARD FEES")</f>
        <v xml:space="preserve">          6381 - BANK/CREDIT CARD FEES</v>
      </c>
      <c r="C68" s="14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SUM(OSRRefD21_4_0x)+IFERROR(SUM(OSRRefE21_4_0x),0)</f>
        <v>0</v>
      </c>
    </row>
    <row r="69" spans="1:17" s="35" customFormat="1" collapsed="1" x14ac:dyDescent="0.3">
      <c r="A69" s="34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SUM(OSRRefD21_5x_4)</f>
        <v>0</v>
      </c>
      <c r="I69" s="1">
        <f>SUM(OSRRefD21_5x_5)</f>
        <v>0</v>
      </c>
      <c r="J69" s="1">
        <f>SUM(OSRRefE21_5x_0)</f>
        <v>0</v>
      </c>
      <c r="K69" s="1">
        <f>SUM(OSRRefE21_5x_1)</f>
        <v>0</v>
      </c>
      <c r="L69" s="1">
        <f>SUM(OSRRefE21_5x_2)</f>
        <v>0</v>
      </c>
      <c r="M69" s="1">
        <f>SUM(OSRRefE21_5x_3)</f>
        <v>0</v>
      </c>
      <c r="N69" s="1">
        <f>SUM(OSRRefE21_5x_4)</f>
        <v>0</v>
      </c>
      <c r="O69" s="1">
        <f>SUM(OSRRefE21_5x_5)</f>
        <v>0</v>
      </c>
      <c r="Q69" s="2">
        <f>SUM(OSRRefD20_5x)+IFERROR(SUM(OSRRefE20_5x),0)</f>
        <v>0</v>
      </c>
    </row>
    <row r="70" spans="1:17" s="35" customFormat="1" hidden="1" outlineLevel="1" x14ac:dyDescent="0.3">
      <c r="A70" s="34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5" customFormat="1" collapsed="1" x14ac:dyDescent="0.3">
      <c r="A71" s="34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SUM(OSRRefD21_6x_4)</f>
        <v>0</v>
      </c>
      <c r="I71" s="1">
        <f>SUM(OSRRefD21_6x_5)</f>
        <v>0</v>
      </c>
      <c r="J71" s="1">
        <f>SUM(OSRRefE21_6x_0)</f>
        <v>50</v>
      </c>
      <c r="K71" s="1">
        <f>SUM(OSRRefE21_6x_1)</f>
        <v>50</v>
      </c>
      <c r="L71" s="1">
        <f>SUM(OSRRefE21_6x_2)</f>
        <v>50</v>
      </c>
      <c r="M71" s="1">
        <f>SUM(OSRRefE21_6x_3)</f>
        <v>50</v>
      </c>
      <c r="N71" s="1">
        <f>SUM(OSRRefE21_6x_4)</f>
        <v>50</v>
      </c>
      <c r="O71" s="1">
        <f>SUM(OSRRefE21_6x_5)</f>
        <v>50</v>
      </c>
      <c r="Q71" s="2">
        <f>SUM(OSRRefD20_6x)+IFERROR(SUM(OSRRefE20_6x),0)</f>
        <v>516.44000000000005</v>
      </c>
    </row>
    <row r="72" spans="1:17" s="35" customFormat="1" hidden="1" outlineLevel="1" x14ac:dyDescent="0.3">
      <c r="A72" s="34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/>
      <c r="I72" s="2"/>
      <c r="J72" s="2">
        <v>50</v>
      </c>
      <c r="K72" s="2">
        <v>50</v>
      </c>
      <c r="L72" s="2">
        <v>50</v>
      </c>
      <c r="M72" s="2">
        <v>50</v>
      </c>
      <c r="N72" s="2">
        <v>50</v>
      </c>
      <c r="O72" s="2">
        <v>50</v>
      </c>
      <c r="P72" s="9"/>
      <c r="Q72" s="2">
        <f>SUM(OSRRefD21_6_0x)+IFERROR(SUM(OSRRefE21_6_0x),0)</f>
        <v>516.44000000000005</v>
      </c>
    </row>
    <row r="73" spans="1:17" s="35" customFormat="1" collapsed="1" x14ac:dyDescent="0.3">
      <c r="A73" s="34"/>
      <c r="B73" s="14" t="str">
        <f>CONCATENATE("     ","Equipment Rental                                  ")</f>
        <v xml:space="preserve">     Equipment Rental                                  </v>
      </c>
      <c r="C73" s="14"/>
      <c r="D73" s="1">
        <f>SUM(OSRRefD21_7x_0)</f>
        <v>0</v>
      </c>
      <c r="E73" s="1">
        <f>SUM(OSRRefD21_7x_1)</f>
        <v>0</v>
      </c>
      <c r="F73" s="1">
        <f>SUM(OSRRefD21_7x_2)</f>
        <v>0</v>
      </c>
      <c r="G73" s="1">
        <f>SUM(OSRRefD21_7x_3)</f>
        <v>0</v>
      </c>
      <c r="H73" s="1">
        <f>SUM(OSRRefD21_7x_4)</f>
        <v>0</v>
      </c>
      <c r="I73" s="1">
        <f>SUM(OSRRefD21_7x_5)</f>
        <v>118.91</v>
      </c>
      <c r="J73" s="1">
        <f>SUM(OSRRefE21_7x_0)</f>
        <v>0</v>
      </c>
      <c r="K73" s="1">
        <f>SUM(OSRRefE21_7x_1)</f>
        <v>0</v>
      </c>
      <c r="L73" s="1">
        <f>SUM(OSRRefE21_7x_2)</f>
        <v>0</v>
      </c>
      <c r="M73" s="1">
        <f>SUM(OSRRefE21_7x_3)</f>
        <v>0</v>
      </c>
      <c r="N73" s="1">
        <f>SUM(OSRRefE21_7x_4)</f>
        <v>0</v>
      </c>
      <c r="O73" s="1">
        <f>SUM(OSRRefE21_7x_5)</f>
        <v>0</v>
      </c>
      <c r="Q73" s="2">
        <f>SUM(OSRRefD20_7x)+IFERROR(SUM(OSRRefE20_7x),0)</f>
        <v>118.91</v>
      </c>
    </row>
    <row r="74" spans="1:17" s="35" customFormat="1" hidden="1" outlineLevel="1" x14ac:dyDescent="0.3">
      <c r="A74" s="34"/>
      <c r="B74" s="10" t="str">
        <f>CONCATENATE("          ","6351", " - ","EQUIPMENT RENTAL")</f>
        <v xml:space="preserve">          6351 - EQUIPMENT RENTAL</v>
      </c>
      <c r="C74" s="14"/>
      <c r="D74" s="2"/>
      <c r="E74" s="2"/>
      <c r="F74" s="2"/>
      <c r="G74" s="2"/>
      <c r="H74" s="2"/>
      <c r="I74" s="2">
        <v>118.91</v>
      </c>
      <c r="J74" s="2"/>
      <c r="K74" s="2"/>
      <c r="L74" s="2"/>
      <c r="M74" s="2"/>
      <c r="N74" s="2"/>
      <c r="O74" s="2"/>
      <c r="P74" s="9"/>
      <c r="Q74" s="2">
        <f>SUM(OSRRefD21_7_0x)+IFERROR(SUM(OSRRefE21_7_0x),0)</f>
        <v>118.91</v>
      </c>
    </row>
    <row r="75" spans="1:17" s="35" customFormat="1" collapsed="1" x14ac:dyDescent="0.3">
      <c r="A75" s="34"/>
      <c r="B75" s="14" t="str">
        <f>CONCATENATE("     ","Freight out/Postage                               ")</f>
        <v xml:space="preserve">     Freight out/Postage                               </v>
      </c>
      <c r="C75" s="14"/>
      <c r="D75" s="1">
        <f>SUM(OSRRefD21_8x_0)</f>
        <v>857.13</v>
      </c>
      <c r="E75" s="1">
        <f>SUM(OSRRefD21_8x_1)</f>
        <v>16.16</v>
      </c>
      <c r="F75" s="1">
        <f>SUM(OSRRefD21_8x_2)</f>
        <v>32.659999999999997</v>
      </c>
      <c r="G75" s="1">
        <f>SUM(OSRRefD21_8x_3)</f>
        <v>19.82</v>
      </c>
      <c r="H75" s="1">
        <f>SUM(OSRRefD21_8x_4)</f>
        <v>3.52</v>
      </c>
      <c r="I75" s="1">
        <f>SUM(OSRRefD21_8x_5)</f>
        <v>0</v>
      </c>
      <c r="J75" s="1">
        <f>SUM(OSRRefE21_8x_0)</f>
        <v>50</v>
      </c>
      <c r="K75" s="1">
        <f>SUM(OSRRefE21_8x_1)</f>
        <v>50</v>
      </c>
      <c r="L75" s="1">
        <f>SUM(OSRRefE21_8x_2)</f>
        <v>50</v>
      </c>
      <c r="M75" s="1">
        <f>SUM(OSRRefE21_8x_3)</f>
        <v>50</v>
      </c>
      <c r="N75" s="1">
        <f>SUM(OSRRefE21_8x_4)</f>
        <v>50</v>
      </c>
      <c r="O75" s="1">
        <f>SUM(OSRRefE21_8x_5)</f>
        <v>50</v>
      </c>
      <c r="Q75" s="2">
        <f>SUM(OSRRefD20_8x)+IFERROR(SUM(OSRRefE20_8x),0)</f>
        <v>1229.29</v>
      </c>
    </row>
    <row r="76" spans="1:17" s="35" customFormat="1" hidden="1" outlineLevel="1" x14ac:dyDescent="0.3">
      <c r="A76" s="34"/>
      <c r="B76" s="10" t="str">
        <f>CONCATENATE("          ","6305", " - ","FREIGHT OUT")</f>
        <v xml:space="preserve">          6305 - FREIGHT OUT</v>
      </c>
      <c r="C76" s="14"/>
      <c r="D76" s="2">
        <v>845.71</v>
      </c>
      <c r="E76" s="2">
        <v>16.16</v>
      </c>
      <c r="F76" s="2">
        <v>8.66</v>
      </c>
      <c r="G76" s="2">
        <v>19.82</v>
      </c>
      <c r="H76" s="2">
        <v>3.52</v>
      </c>
      <c r="I76" s="2"/>
      <c r="J76" s="2">
        <v>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SUM(OSRRefD21_8_0x)+IFERROR(SUM(OSRRefE21_8_0x),0)</f>
        <v>1193.8699999999999</v>
      </c>
    </row>
    <row r="77" spans="1:17" s="35" customFormat="1" hidden="1" outlineLevel="1" x14ac:dyDescent="0.3">
      <c r="A77" s="34"/>
      <c r="B77" s="10" t="str">
        <f>CONCATENATE("          ","6307", " - ","POSTAGE")</f>
        <v xml:space="preserve">          6307 - POSTAGE</v>
      </c>
      <c r="C77" s="14"/>
      <c r="D77" s="2">
        <v>11.42</v>
      </c>
      <c r="E77" s="2"/>
      <c r="F77" s="2">
        <v>24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SUM(OSRRefD21_8_1x)+IFERROR(SUM(OSRRefE21_8_1x),0)</f>
        <v>35.42</v>
      </c>
    </row>
    <row r="78" spans="1:17" s="35" customFormat="1" collapsed="1" x14ac:dyDescent="0.3">
      <c r="A78" s="34"/>
      <c r="B78" s="14" t="str">
        <f>CONCATENATE("     ","General                                           ")</f>
        <v xml:space="preserve">     General                                           </v>
      </c>
      <c r="C78" s="14"/>
      <c r="D78" s="1">
        <f>SUM(OSRRefD21_9x_0)</f>
        <v>0</v>
      </c>
      <c r="E78" s="1">
        <f>SUM(OSRRefD21_9x_1)</f>
        <v>0</v>
      </c>
      <c r="F78" s="1">
        <f>SUM(OSRRefD21_9x_2)</f>
        <v>0</v>
      </c>
      <c r="G78" s="1">
        <f>SUM(OSRRefD21_9x_3)</f>
        <v>0</v>
      </c>
      <c r="H78" s="1">
        <f>SUM(OSRRefD21_9x_4)</f>
        <v>0</v>
      </c>
      <c r="I78" s="1">
        <f>SUM(OSRRefD21_9x_5)</f>
        <v>0</v>
      </c>
      <c r="J78" s="1">
        <f>SUM(OSRRefE21_9x_0)</f>
        <v>0</v>
      </c>
      <c r="K78" s="1">
        <f>SUM(OSRRefE21_9x_1)</f>
        <v>0</v>
      </c>
      <c r="L78" s="1">
        <f>SUM(OSRRefE21_9x_2)</f>
        <v>0</v>
      </c>
      <c r="M78" s="1">
        <f>SUM(OSRRefE21_9x_3)</f>
        <v>0</v>
      </c>
      <c r="N78" s="1">
        <f>SUM(OSRRefE21_9x_4)</f>
        <v>0</v>
      </c>
      <c r="O78" s="1">
        <f>SUM(OSRRefE21_9x_5)</f>
        <v>1000</v>
      </c>
      <c r="Q78" s="2">
        <f>SUM(OSRRefD20_9x)+IFERROR(SUM(OSRRefE20_9x),0)</f>
        <v>1000</v>
      </c>
    </row>
    <row r="79" spans="1:17" s="35" customFormat="1" hidden="1" outlineLevel="1" x14ac:dyDescent="0.3">
      <c r="A79" s="34"/>
      <c r="B79" s="10" t="str">
        <f>CONCATENATE("          ","6279", " - ","GENERAL EXPENSE")</f>
        <v xml:space="preserve">          6279 - GENERAL EXPENSE</v>
      </c>
      <c r="C79" s="14"/>
      <c r="D79" s="2"/>
      <c r="E79" s="2"/>
      <c r="F79" s="2"/>
      <c r="G79" s="2"/>
      <c r="H79" s="2"/>
      <c r="I79" s="2"/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1000</v>
      </c>
      <c r="P79" s="9"/>
      <c r="Q79" s="2">
        <f>SUM(OSRRefD21_9_0x)+IFERROR(SUM(OSRRefE21_9_0x),0)</f>
        <v>1000</v>
      </c>
    </row>
    <row r="80" spans="1:17" s="35" customFormat="1" collapsed="1" x14ac:dyDescent="0.3">
      <c r="A80" s="34"/>
      <c r="B80" s="14" t="str">
        <f>CONCATENATE("     ","Inventory Adjustment                              ")</f>
        <v xml:space="preserve">     Inventory Adjustment                              </v>
      </c>
      <c r="C80" s="14"/>
      <c r="D80" s="1">
        <f>SUM(OSRRefD21_10x_0)</f>
        <v>3350</v>
      </c>
      <c r="E80" s="1">
        <f>SUM(OSRRefD21_10x_1)</f>
        <v>3350</v>
      </c>
      <c r="F80" s="1">
        <f>SUM(OSRRefD21_10x_2)</f>
        <v>3350</v>
      </c>
      <c r="G80" s="1">
        <f>SUM(OSRRefD21_10x_3)</f>
        <v>3350</v>
      </c>
      <c r="H80" s="1">
        <f>SUM(OSRRefD21_10x_4)</f>
        <v>3350</v>
      </c>
      <c r="I80" s="1">
        <f>SUM(OSRRefD21_10x_5)</f>
        <v>3350</v>
      </c>
      <c r="J80" s="1">
        <f>SUM(OSRRefE21_10x_0)</f>
        <v>3350</v>
      </c>
      <c r="K80" s="1">
        <f>SUM(OSRRefE21_10x_1)</f>
        <v>3350</v>
      </c>
      <c r="L80" s="1">
        <f>SUM(OSRRefE21_10x_2)</f>
        <v>3350</v>
      </c>
      <c r="M80" s="1">
        <f>SUM(OSRRefE21_10x_3)</f>
        <v>3350</v>
      </c>
      <c r="N80" s="1">
        <f>SUM(OSRRefE21_10x_4)</f>
        <v>3350</v>
      </c>
      <c r="O80" s="1">
        <f>SUM(OSRRefE21_10x_5)</f>
        <v>3350</v>
      </c>
      <c r="Q80" s="2">
        <f>SUM(OSRRefD20_10x)+IFERROR(SUM(OSRRefE20_10x),0)</f>
        <v>40200</v>
      </c>
    </row>
    <row r="81" spans="1:17" s="35" customFormat="1" hidden="1" outlineLevel="1" x14ac:dyDescent="0.3">
      <c r="A81" s="34"/>
      <c r="B81" s="10" t="str">
        <f>CONCATENATE("          ","6408", " - ","INVENTORY ADJUSTMENT")</f>
        <v xml:space="preserve">          6408 - INVENTORY ADJUSTMENT</v>
      </c>
      <c r="C81" s="14"/>
      <c r="D81" s="2">
        <v>3350</v>
      </c>
      <c r="E81" s="2">
        <v>3350</v>
      </c>
      <c r="F81" s="2">
        <v>3350</v>
      </c>
      <c r="G81" s="2">
        <v>3350</v>
      </c>
      <c r="H81" s="2">
        <v>3350</v>
      </c>
      <c r="I81" s="2">
        <v>3350</v>
      </c>
      <c r="J81" s="2">
        <v>3350</v>
      </c>
      <c r="K81" s="2">
        <v>3350</v>
      </c>
      <c r="L81" s="2">
        <v>3350</v>
      </c>
      <c r="M81" s="2">
        <v>3350</v>
      </c>
      <c r="N81" s="2">
        <v>3350</v>
      </c>
      <c r="O81" s="2">
        <v>3350</v>
      </c>
      <c r="P81" s="9"/>
      <c r="Q81" s="2">
        <f>SUM(OSRRefD21_10_0x)+IFERROR(SUM(OSRRefE21_10_0x),0)</f>
        <v>40200</v>
      </c>
    </row>
    <row r="82" spans="1:17" s="35" customFormat="1" collapsed="1" x14ac:dyDescent="0.3">
      <c r="A82" s="34"/>
      <c r="B82" s="14" t="str">
        <f>CONCATENATE("     ","Professional Services                             ")</f>
        <v xml:space="preserve">     Professional Services                             </v>
      </c>
      <c r="C82" s="14"/>
      <c r="D82" s="1">
        <f>SUM(OSRRefD21_11x_0)</f>
        <v>0</v>
      </c>
      <c r="E82" s="1">
        <f>SUM(OSRRefD21_11x_1)</f>
        <v>0</v>
      </c>
      <c r="F82" s="1">
        <f>SUM(OSRRefD21_11x_2)</f>
        <v>0</v>
      </c>
      <c r="G82" s="1">
        <f>SUM(OSRRefD21_11x_3)</f>
        <v>507.64</v>
      </c>
      <c r="H82" s="1">
        <f>SUM(OSRRefD21_11x_4)</f>
        <v>0</v>
      </c>
      <c r="I82" s="1">
        <f>SUM(OSRRefD21_11x_5)</f>
        <v>0</v>
      </c>
      <c r="J82" s="1">
        <f>SUM(OSRRefE21_11x_0)</f>
        <v>250</v>
      </c>
      <c r="K82" s="1">
        <f>SUM(OSRRefE21_11x_1)</f>
        <v>0</v>
      </c>
      <c r="L82" s="1">
        <f>SUM(OSRRefE21_11x_2)</f>
        <v>0</v>
      </c>
      <c r="M82" s="1">
        <f>SUM(OSRRefE21_11x_3)</f>
        <v>250</v>
      </c>
      <c r="N82" s="1">
        <f>SUM(OSRRefE21_11x_4)</f>
        <v>0</v>
      </c>
      <c r="O82" s="1">
        <f>SUM(OSRRefE21_11x_5)</f>
        <v>0</v>
      </c>
      <c r="Q82" s="2">
        <f>SUM(OSRRefD20_11x)+IFERROR(SUM(OSRRefE20_11x),0)</f>
        <v>1007.64</v>
      </c>
    </row>
    <row r="83" spans="1:17" s="35" customFormat="1" hidden="1" outlineLevel="1" x14ac:dyDescent="0.3">
      <c r="A83" s="34"/>
      <c r="B83" s="10" t="str">
        <f>CONCATENATE("          ","6336", " - ","PROFESSIONAL SERVICES")</f>
        <v xml:space="preserve">          6336 - PROFESSIONAL SERVICES</v>
      </c>
      <c r="C83" s="14"/>
      <c r="D83" s="2"/>
      <c r="E83" s="2"/>
      <c r="F83" s="2"/>
      <c r="G83" s="2">
        <v>507.64</v>
      </c>
      <c r="H83" s="2"/>
      <c r="I83" s="2"/>
      <c r="J83" s="2">
        <v>250</v>
      </c>
      <c r="K83" s="2">
        <v>0</v>
      </c>
      <c r="L83" s="2">
        <v>0</v>
      </c>
      <c r="M83" s="2">
        <v>250</v>
      </c>
      <c r="N83" s="2">
        <v>0</v>
      </c>
      <c r="O83" s="2">
        <v>0</v>
      </c>
      <c r="P83" s="9"/>
      <c r="Q83" s="2">
        <f>SUM(OSRRefD21_11_0x)+IFERROR(SUM(OSRRefE21_11_0x),0)</f>
        <v>1007.64</v>
      </c>
    </row>
    <row r="84" spans="1:17" s="35" customFormat="1" collapsed="1" x14ac:dyDescent="0.3">
      <c r="A84" s="34"/>
      <c r="B84" s="14" t="str">
        <f>CONCATENATE("     ","Repair and Maintenance                            ")</f>
        <v xml:space="preserve">     Repair and Maintenance                            </v>
      </c>
      <c r="C84" s="14"/>
      <c r="D84" s="1">
        <f>SUM(OSRRefD21_12x_0)</f>
        <v>0</v>
      </c>
      <c r="E84" s="1">
        <f>SUM(OSRRefD21_12x_1)</f>
        <v>9.24</v>
      </c>
      <c r="F84" s="1">
        <f>SUM(OSRRefD21_12x_2)</f>
        <v>0</v>
      </c>
      <c r="G84" s="1">
        <f>SUM(OSRRefD21_12x_3)</f>
        <v>0</v>
      </c>
      <c r="H84" s="1">
        <f>SUM(OSRRefD21_12x_4)</f>
        <v>0</v>
      </c>
      <c r="I84" s="1">
        <f>SUM(OSRRefD21_12x_5)</f>
        <v>1675.05</v>
      </c>
      <c r="J84" s="1">
        <f>SUM(OSRRefE21_12x_0)</f>
        <v>0</v>
      </c>
      <c r="K84" s="1">
        <f>SUM(OSRRefE21_12x_1)</f>
        <v>0</v>
      </c>
      <c r="L84" s="1">
        <f>SUM(OSRRefE21_12x_2)</f>
        <v>0</v>
      </c>
      <c r="M84" s="1">
        <f>SUM(OSRRefE21_12x_3)</f>
        <v>0</v>
      </c>
      <c r="N84" s="1">
        <f>SUM(OSRRefE21_12x_4)</f>
        <v>0</v>
      </c>
      <c r="O84" s="1">
        <f>SUM(OSRRefE21_12x_5)</f>
        <v>0</v>
      </c>
      <c r="Q84" s="2">
        <f>SUM(OSRRefD20_12x)+IFERROR(SUM(OSRRefE20_12x),0)</f>
        <v>1684.29</v>
      </c>
    </row>
    <row r="85" spans="1:17" s="35" customFormat="1" hidden="1" outlineLevel="1" x14ac:dyDescent="0.3">
      <c r="A85" s="34"/>
      <c r="B85" s="10" t="str">
        <f>CONCATENATE("          ","6373", " - ","MAINTENANCE CONTRACTS")</f>
        <v xml:space="preserve">          6373 - MAINTENANCE CONTRACTS</v>
      </c>
      <c r="C85" s="14"/>
      <c r="D85" s="2"/>
      <c r="E85" s="2">
        <v>5.7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5.7</v>
      </c>
    </row>
    <row r="86" spans="1:17" s="35" customFormat="1" hidden="1" outlineLevel="1" x14ac:dyDescent="0.3">
      <c r="A86" s="34"/>
      <c r="B86" s="10" t="str">
        <f>CONCATENATE("          ","6375", " - ","OUTSIDE REPAIRS &amp; MAINTENANCE")</f>
        <v xml:space="preserve">          6375 - OUTSIDE REPAIRS &amp; MAINTENANCE</v>
      </c>
      <c r="C86" s="14"/>
      <c r="D86" s="2"/>
      <c r="E86" s="2">
        <v>3.54</v>
      </c>
      <c r="F86" s="2"/>
      <c r="G86" s="2"/>
      <c r="H86" s="2"/>
      <c r="I86" s="2">
        <v>1675.05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SUM(OSRRefD21_12_1x)+IFERROR(SUM(OSRRefE21_12_1x),0)</f>
        <v>1678.59</v>
      </c>
    </row>
    <row r="87" spans="1:17" s="35" customFormat="1" collapsed="1" x14ac:dyDescent="0.3">
      <c r="A87" s="34"/>
      <c r="B87" s="14" t="str">
        <f>CONCATENATE("     ","Royalty &amp; Commissions                             ")</f>
        <v xml:space="preserve">     Royalty &amp; Commissions                             </v>
      </c>
      <c r="C87" s="14"/>
      <c r="D87" s="1">
        <f>SUM(OSRRefD21_13x_0)</f>
        <v>7349.0400000000009</v>
      </c>
      <c r="E87" s="1">
        <f>SUM(OSRRefD21_13x_1)</f>
        <v>0</v>
      </c>
      <c r="F87" s="1">
        <f>SUM(OSRRefD21_13x_2)</f>
        <v>0</v>
      </c>
      <c r="G87" s="1">
        <f>SUM(OSRRefD21_13x_3)</f>
        <v>8783.75</v>
      </c>
      <c r="H87" s="1">
        <f>SUM(OSRRefD21_13x_4)</f>
        <v>0</v>
      </c>
      <c r="I87" s="1">
        <f>SUM(OSRRefD21_13x_5)</f>
        <v>0</v>
      </c>
      <c r="J87" s="1">
        <f>SUM(OSRRefE21_13x_0)</f>
        <v>9106</v>
      </c>
      <c r="K87" s="1">
        <f>SUM(OSRRefE21_13x_1)</f>
        <v>1446</v>
      </c>
      <c r="L87" s="1">
        <f>SUM(OSRRefE21_13x_2)</f>
        <v>2085</v>
      </c>
      <c r="M87" s="1">
        <f>SUM(OSRRefE21_13x_3)</f>
        <v>16503</v>
      </c>
      <c r="N87" s="1">
        <f>SUM(OSRRefE21_13x_4)</f>
        <v>3156</v>
      </c>
      <c r="O87" s="1">
        <f>SUM(OSRRefE21_13x_5)</f>
        <v>3322</v>
      </c>
      <c r="Q87" s="2">
        <f>SUM(OSRRefD20_13x)+IFERROR(SUM(OSRRefE20_13x),0)</f>
        <v>51750.79</v>
      </c>
    </row>
    <row r="88" spans="1:17" s="35" customFormat="1" hidden="1" outlineLevel="1" x14ac:dyDescent="0.3">
      <c r="A88" s="34"/>
      <c r="B88" s="10" t="str">
        <f>CONCATENATE("          ","6252", " - ","ROYALTY DUE CSTV")</f>
        <v xml:space="preserve">          6252 - ROYALTY DUE CSTV</v>
      </c>
      <c r="C88" s="14"/>
      <c r="D88" s="2"/>
      <c r="E88" s="2"/>
      <c r="F88" s="2"/>
      <c r="G88" s="2"/>
      <c r="H88" s="2"/>
      <c r="I88" s="2"/>
      <c r="J88" s="2">
        <v>821</v>
      </c>
      <c r="K88" s="2">
        <v>446</v>
      </c>
      <c r="L88" s="2">
        <v>1085</v>
      </c>
      <c r="M88" s="2">
        <v>948</v>
      </c>
      <c r="N88" s="2">
        <v>2156</v>
      </c>
      <c r="O88" s="2">
        <v>3322</v>
      </c>
      <c r="P88" s="9"/>
      <c r="Q88" s="2">
        <f>SUM(OSRRefD21_13_0x)+IFERROR(SUM(OSRRefE21_13_0x),0)</f>
        <v>8778</v>
      </c>
    </row>
    <row r="89" spans="1:17" s="35" customFormat="1" hidden="1" outlineLevel="1" x14ac:dyDescent="0.3">
      <c r="A89" s="34"/>
      <c r="B89" s="10" t="str">
        <f>CONCATENATE("          ","6253", " - ","ROYALTY DUE ATHLETICS-LRG")</f>
        <v xml:space="preserve">          6253 - ROYALTY DUE ATHLETICS-LRG</v>
      </c>
      <c r="C89" s="14"/>
      <c r="D89" s="2">
        <v>14376.54</v>
      </c>
      <c r="E89" s="2"/>
      <c r="F89" s="2"/>
      <c r="G89" s="2">
        <v>8783.75</v>
      </c>
      <c r="H89" s="2"/>
      <c r="I89" s="2"/>
      <c r="J89" s="2">
        <v>7785</v>
      </c>
      <c r="K89" s="2">
        <v>0</v>
      </c>
      <c r="L89" s="2">
        <v>0</v>
      </c>
      <c r="M89" s="2">
        <v>14555</v>
      </c>
      <c r="N89" s="2">
        <v>0</v>
      </c>
      <c r="O89" s="2">
        <v>0</v>
      </c>
      <c r="P89" s="9"/>
      <c r="Q89" s="2">
        <f>SUM(OSRRefD21_13_1x)+IFERROR(SUM(OSRRefE21_13_1x),0)</f>
        <v>45500.29</v>
      </c>
    </row>
    <row r="90" spans="1:17" s="35" customFormat="1" hidden="1" outlineLevel="1" x14ac:dyDescent="0.3">
      <c r="A90" s="34"/>
      <c r="B90" s="10" t="str">
        <f>CONCATENATE("          ","6254", " - ","ROYALTY &amp; COMMISSIONS")</f>
        <v xml:space="preserve">          6254 - ROYALTY &amp; COMMISSIONS</v>
      </c>
      <c r="C90" s="14"/>
      <c r="D90" s="2">
        <v>-7027.5</v>
      </c>
      <c r="E90" s="2"/>
      <c r="F90" s="2"/>
      <c r="G90" s="2"/>
      <c r="H90" s="2"/>
      <c r="I90" s="2">
        <v>0</v>
      </c>
      <c r="J90" s="2">
        <v>500</v>
      </c>
      <c r="K90" s="2">
        <v>1000</v>
      </c>
      <c r="L90" s="2">
        <v>1000</v>
      </c>
      <c r="M90" s="2">
        <v>1000</v>
      </c>
      <c r="N90" s="2">
        <v>1000</v>
      </c>
      <c r="O90" s="2">
        <v>0</v>
      </c>
      <c r="P90" s="9"/>
      <c r="Q90" s="2">
        <f>SUM(OSRRefD21_13_2x)+IFERROR(SUM(OSRRefE21_13_2x),0)</f>
        <v>-2527.5</v>
      </c>
    </row>
    <row r="91" spans="1:17" s="35" customFormat="1" collapsed="1" x14ac:dyDescent="0.3">
      <c r="A91" s="34"/>
      <c r="B91" s="14" t="str">
        <f>CONCATENATE("     ","Subscriptions &amp; Dues                              ")</f>
        <v xml:space="preserve">     Subscriptions &amp; Dues                              </v>
      </c>
      <c r="C91" s="14"/>
      <c r="D91" s="1">
        <f>SUM(OSRRefD21_14x_0)</f>
        <v>0</v>
      </c>
      <c r="E91" s="1">
        <f>SUM(OSRRefD21_14x_1)</f>
        <v>0</v>
      </c>
      <c r="F91" s="1">
        <f>SUM(OSRRefD21_14x_2)</f>
        <v>0</v>
      </c>
      <c r="G91" s="1">
        <f>SUM(OSRRefD21_14x_3)</f>
        <v>0</v>
      </c>
      <c r="H91" s="1">
        <f>SUM(OSRRefD21_14x_4)</f>
        <v>0</v>
      </c>
      <c r="I91" s="1">
        <f>SUM(OSRRefD21_14x_5)</f>
        <v>0</v>
      </c>
      <c r="J91" s="1">
        <f>SUM(OSRRefE21_14x_0)</f>
        <v>100</v>
      </c>
      <c r="K91" s="1">
        <f>SUM(OSRRefE21_14x_1)</f>
        <v>100</v>
      </c>
      <c r="L91" s="1">
        <f>SUM(OSRRefE21_14x_2)</f>
        <v>100</v>
      </c>
      <c r="M91" s="1">
        <f>SUM(OSRRefE21_14x_3)</f>
        <v>100</v>
      </c>
      <c r="N91" s="1">
        <f>SUM(OSRRefE21_14x_4)</f>
        <v>100</v>
      </c>
      <c r="O91" s="1">
        <f>SUM(OSRRefE21_14x_5)</f>
        <v>100</v>
      </c>
      <c r="Q91" s="2">
        <f>SUM(OSRRefD20_14x)+IFERROR(SUM(OSRRefE20_14x),0)</f>
        <v>600</v>
      </c>
    </row>
    <row r="92" spans="1:17" s="35" customFormat="1" hidden="1" outlineLevel="1" x14ac:dyDescent="0.3">
      <c r="A92" s="34"/>
      <c r="B92" s="10" t="str">
        <f>CONCATENATE("          ","6258", " - ","MEMBERSHIP DUES")</f>
        <v xml:space="preserve">          6258 - MEMBERSHIP DUES</v>
      </c>
      <c r="C92" s="14"/>
      <c r="D92" s="2"/>
      <c r="E92" s="2"/>
      <c r="F92" s="2"/>
      <c r="G92" s="2"/>
      <c r="H92" s="2"/>
      <c r="I92" s="2"/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SUM(OSRRefD21_14_0x)+IFERROR(SUM(OSRRefE21_14_0x),0)</f>
        <v>0</v>
      </c>
    </row>
    <row r="93" spans="1:17" s="35" customFormat="1" hidden="1" outlineLevel="1" x14ac:dyDescent="0.3">
      <c r="A93" s="34"/>
      <c r="B93" s="10" t="str">
        <f>CONCATENATE("          ","6275", " - ","SUBSCRIPTIONS")</f>
        <v xml:space="preserve">          6275 - SUBSCRIPTIONS</v>
      </c>
      <c r="C93" s="14"/>
      <c r="D93" s="2"/>
      <c r="E93" s="2"/>
      <c r="F93" s="2"/>
      <c r="G93" s="2"/>
      <c r="H93" s="2"/>
      <c r="I93" s="2"/>
      <c r="J93" s="2">
        <v>100</v>
      </c>
      <c r="K93" s="2">
        <v>100</v>
      </c>
      <c r="L93" s="2">
        <v>100</v>
      </c>
      <c r="M93" s="2">
        <v>100</v>
      </c>
      <c r="N93" s="2">
        <v>100</v>
      </c>
      <c r="O93" s="2">
        <v>100</v>
      </c>
      <c r="P93" s="9"/>
      <c r="Q93" s="2">
        <f>SUM(OSRRefD21_14_1x)+IFERROR(SUM(OSRRefE21_14_1x),0)</f>
        <v>600</v>
      </c>
    </row>
    <row r="94" spans="1:17" s="35" customFormat="1" collapsed="1" x14ac:dyDescent="0.3">
      <c r="A94" s="34"/>
      <c r="B94" s="14" t="str">
        <f>CONCATENATE("     ","Supplies                                          ")</f>
        <v xml:space="preserve">     Supplies                                          </v>
      </c>
      <c r="C94" s="14"/>
      <c r="D94" s="1">
        <f>SUM(OSRRefD21_15x_0)</f>
        <v>2351.0099999999998</v>
      </c>
      <c r="E94" s="1">
        <f>SUM(OSRRefD21_15x_1)</f>
        <v>3030.73</v>
      </c>
      <c r="F94" s="1">
        <f>SUM(OSRRefD21_15x_2)</f>
        <v>273.81</v>
      </c>
      <c r="G94" s="1">
        <f>SUM(OSRRefD21_15x_3)</f>
        <v>1228.48</v>
      </c>
      <c r="H94" s="1">
        <f>SUM(OSRRefD21_15x_4)</f>
        <v>164.36</v>
      </c>
      <c r="I94" s="1">
        <f>SUM(OSRRefD21_15x_5)</f>
        <v>531.44000000000005</v>
      </c>
      <c r="J94" s="1">
        <f>SUM(OSRRefE21_15x_0)</f>
        <v>75</v>
      </c>
      <c r="K94" s="1">
        <f>SUM(OSRRefE21_15x_1)</f>
        <v>75</v>
      </c>
      <c r="L94" s="1">
        <f>SUM(OSRRefE21_15x_2)</f>
        <v>75</v>
      </c>
      <c r="M94" s="1">
        <f>SUM(OSRRefE21_15x_3)</f>
        <v>75</v>
      </c>
      <c r="N94" s="1">
        <f>SUM(OSRRefE21_15x_4)</f>
        <v>75</v>
      </c>
      <c r="O94" s="1">
        <f>SUM(OSRRefE21_15x_5)</f>
        <v>75</v>
      </c>
      <c r="Q94" s="2">
        <f>SUM(OSRRefD20_15x)+IFERROR(SUM(OSRRefE20_15x),0)</f>
        <v>8029.83</v>
      </c>
    </row>
    <row r="95" spans="1:17" s="35" customFormat="1" hidden="1" outlineLevel="1" x14ac:dyDescent="0.3">
      <c r="A95" s="34"/>
      <c r="B95" s="10" t="str">
        <f>CONCATENATE("          ","6235", " - ","COVID-19 EXPENSES")</f>
        <v xml:space="preserve">          6235 - COVID-19 EXPENSES</v>
      </c>
      <c r="C95" s="14"/>
      <c r="D95" s="2"/>
      <c r="E95" s="2"/>
      <c r="F95" s="2"/>
      <c r="G95" s="2"/>
      <c r="H95" s="2"/>
      <c r="I95" s="2"/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9"/>
      <c r="Q95" s="2">
        <f>SUM(OSRRefD21_15_0x)+IFERROR(SUM(OSRRefE21_15_0x),0)</f>
        <v>0</v>
      </c>
    </row>
    <row r="96" spans="1:17" s="35" customFormat="1" hidden="1" outlineLevel="1" x14ac:dyDescent="0.3">
      <c r="A96" s="34"/>
      <c r="B96" s="10" t="str">
        <f>CONCATENATE("          ","6241", " - ","OFFICE EXPENSE")</f>
        <v xml:space="preserve">          6241 - OFFICE EXPENSE</v>
      </c>
      <c r="C96" s="14"/>
      <c r="D96" s="2">
        <v>124.89</v>
      </c>
      <c r="E96" s="2">
        <v>56.1</v>
      </c>
      <c r="F96" s="2">
        <v>216.5</v>
      </c>
      <c r="G96" s="2">
        <v>269.39</v>
      </c>
      <c r="H96" s="2">
        <v>164.36</v>
      </c>
      <c r="I96" s="2">
        <v>251.68</v>
      </c>
      <c r="J96" s="2">
        <v>25</v>
      </c>
      <c r="K96" s="2">
        <v>25</v>
      </c>
      <c r="L96" s="2">
        <v>25</v>
      </c>
      <c r="M96" s="2">
        <v>25</v>
      </c>
      <c r="N96" s="2">
        <v>25</v>
      </c>
      <c r="O96" s="2">
        <v>25</v>
      </c>
      <c r="P96" s="9"/>
      <c r="Q96" s="2">
        <f>SUM(OSRRefD21_15_1x)+IFERROR(SUM(OSRRefE21_15_1x),0)</f>
        <v>1232.92</v>
      </c>
    </row>
    <row r="97" spans="1:17" s="35" customFormat="1" hidden="1" outlineLevel="1" x14ac:dyDescent="0.3">
      <c r="A97" s="34"/>
      <c r="B97" s="10" t="str">
        <f>CONCATENATE("          ","6245", " - ","PRINTING")</f>
        <v xml:space="preserve">          6245 - PRINTING</v>
      </c>
      <c r="C97" s="14"/>
      <c r="D97" s="2"/>
      <c r="E97" s="2"/>
      <c r="F97" s="2"/>
      <c r="G97" s="2"/>
      <c r="H97" s="2"/>
      <c r="I97" s="2">
        <v>24.75</v>
      </c>
      <c r="J97" s="2"/>
      <c r="K97" s="2"/>
      <c r="L97" s="2"/>
      <c r="M97" s="2"/>
      <c r="N97" s="2"/>
      <c r="O97" s="2"/>
      <c r="P97" s="9"/>
      <c r="Q97" s="2">
        <f>SUM(OSRRefD21_15_2x)+IFERROR(SUM(OSRRefE21_15_2x),0)</f>
        <v>24.75</v>
      </c>
    </row>
    <row r="98" spans="1:17" s="35" customFormat="1" hidden="1" outlineLevel="1" x14ac:dyDescent="0.3">
      <c r="A98" s="34"/>
      <c r="B98" s="10" t="str">
        <f>CONCATENATE("          ","6247", " - ","STORE SUPPLIES")</f>
        <v xml:space="preserve">          6247 - STORE SUPPLIES</v>
      </c>
      <c r="C98" s="14"/>
      <c r="D98" s="2">
        <v>2226.12</v>
      </c>
      <c r="E98" s="2">
        <v>2974.63</v>
      </c>
      <c r="F98" s="2">
        <v>57.31</v>
      </c>
      <c r="G98" s="2">
        <v>959.09</v>
      </c>
      <c r="H98" s="2"/>
      <c r="I98" s="2">
        <v>255.01</v>
      </c>
      <c r="J98" s="2">
        <v>50</v>
      </c>
      <c r="K98" s="2">
        <v>50</v>
      </c>
      <c r="L98" s="2">
        <v>50</v>
      </c>
      <c r="M98" s="2">
        <v>50</v>
      </c>
      <c r="N98" s="2">
        <v>50</v>
      </c>
      <c r="O98" s="2">
        <v>50</v>
      </c>
      <c r="P98" s="9"/>
      <c r="Q98" s="2">
        <f>SUM(OSRRefD21_15_3x)+IFERROR(SUM(OSRRefE21_15_3x),0)</f>
        <v>6772.1600000000008</v>
      </c>
    </row>
    <row r="99" spans="1:17" s="35" customFormat="1" collapsed="1" x14ac:dyDescent="0.3">
      <c r="A99" s="34"/>
      <c r="B99" s="14" t="str">
        <f>CONCATENATE("     ","Telephone/Data Lines                              ")</f>
        <v xml:space="preserve">     Telephone/Data Lines                              </v>
      </c>
      <c r="C99" s="14"/>
      <c r="D99" s="1">
        <f>SUM(OSRRefD21_16x_0)</f>
        <v>-125.95</v>
      </c>
      <c r="E99" s="1">
        <f>SUM(OSRRefD21_16x_1)</f>
        <v>254.45</v>
      </c>
      <c r="F99" s="1">
        <f>SUM(OSRRefD21_16x_2)</f>
        <v>256.64999999999998</v>
      </c>
      <c r="G99" s="1">
        <f>SUM(OSRRefD21_16x_3)</f>
        <v>405.45</v>
      </c>
      <c r="H99" s="1">
        <f>SUM(OSRRefD21_16x_4)</f>
        <v>248.85</v>
      </c>
      <c r="I99" s="1">
        <f>SUM(OSRRefD21_16x_5)</f>
        <v>111.85</v>
      </c>
      <c r="J99" s="1">
        <f>SUM(OSRRefE21_16x_0)</f>
        <v>300</v>
      </c>
      <c r="K99" s="1">
        <f>SUM(OSRRefE21_16x_1)</f>
        <v>300</v>
      </c>
      <c r="L99" s="1">
        <f>SUM(OSRRefE21_16x_2)</f>
        <v>300</v>
      </c>
      <c r="M99" s="1">
        <f>SUM(OSRRefE21_16x_3)</f>
        <v>300</v>
      </c>
      <c r="N99" s="1">
        <f>SUM(OSRRefE21_16x_4)</f>
        <v>300</v>
      </c>
      <c r="O99" s="1">
        <f>SUM(OSRRefE21_16x_5)</f>
        <v>300</v>
      </c>
      <c r="Q99" s="2">
        <f>SUM(OSRRefD20_16x)+IFERROR(SUM(OSRRefE20_16x),0)</f>
        <v>2951.2999999999997</v>
      </c>
    </row>
    <row r="100" spans="1:17" s="35" customFormat="1" hidden="1" outlineLevel="1" x14ac:dyDescent="0.3">
      <c r="A100" s="34"/>
      <c r="B100" s="10" t="str">
        <f>CONCATENATE("          ","6309", " - ","TELEPHONE")</f>
        <v xml:space="preserve">          6309 - TELEPHONE</v>
      </c>
      <c r="C100" s="14"/>
      <c r="D100" s="2">
        <v>-125.95</v>
      </c>
      <c r="E100" s="2">
        <v>254.45</v>
      </c>
      <c r="F100" s="2">
        <v>256.64999999999998</v>
      </c>
      <c r="G100" s="2">
        <v>405.45</v>
      </c>
      <c r="H100" s="2">
        <v>248.85</v>
      </c>
      <c r="I100" s="2">
        <v>111.85</v>
      </c>
      <c r="J100" s="2">
        <v>300</v>
      </c>
      <c r="K100" s="2">
        <v>300</v>
      </c>
      <c r="L100" s="2">
        <v>300</v>
      </c>
      <c r="M100" s="2">
        <v>300</v>
      </c>
      <c r="N100" s="2">
        <v>300</v>
      </c>
      <c r="O100" s="2">
        <v>300</v>
      </c>
      <c r="P100" s="9"/>
      <c r="Q100" s="2">
        <f>SUM(OSRRefD21_16_0x)+IFERROR(SUM(OSRRefE21_16_0x),0)</f>
        <v>2951.2999999999997</v>
      </c>
    </row>
    <row r="101" spans="1:17" s="35" customFormat="1" collapsed="1" x14ac:dyDescent="0.3">
      <c r="A101" s="34"/>
      <c r="B101" s="14" t="str">
        <f>CONCATENATE("     ","Travel                                            ")</f>
        <v xml:space="preserve">     Travel                                            </v>
      </c>
      <c r="C101" s="14"/>
      <c r="D101" s="1">
        <f>SUM(OSRRefD21_17x_0)</f>
        <v>40.32</v>
      </c>
      <c r="E101" s="1">
        <f>SUM(OSRRefD21_17x_1)</f>
        <v>0</v>
      </c>
      <c r="F101" s="1">
        <f>SUM(OSRRefD21_17x_2)</f>
        <v>0</v>
      </c>
      <c r="G101" s="1">
        <f>SUM(OSRRefD21_17x_3)</f>
        <v>0</v>
      </c>
      <c r="H101" s="1">
        <f>SUM(OSRRefD21_17x_4)</f>
        <v>0</v>
      </c>
      <c r="I101" s="1">
        <f>SUM(OSRRefD21_17x_5)</f>
        <v>0</v>
      </c>
      <c r="J101" s="1">
        <f>SUM(OSRRefE21_17x_0)</f>
        <v>25</v>
      </c>
      <c r="K101" s="1">
        <f>SUM(OSRRefE21_17x_1)</f>
        <v>25</v>
      </c>
      <c r="L101" s="1">
        <f>SUM(OSRRefE21_17x_2)</f>
        <v>25</v>
      </c>
      <c r="M101" s="1">
        <f>SUM(OSRRefE21_17x_3)</f>
        <v>25</v>
      </c>
      <c r="N101" s="1">
        <f>SUM(OSRRefE21_17x_4)</f>
        <v>25</v>
      </c>
      <c r="O101" s="1">
        <f>SUM(OSRRefE21_17x_5)</f>
        <v>25</v>
      </c>
      <c r="Q101" s="2">
        <f>SUM(OSRRefD20_17x)+IFERROR(SUM(OSRRefE20_17x),0)</f>
        <v>190.32</v>
      </c>
    </row>
    <row r="102" spans="1:17" s="35" customFormat="1" hidden="1" outlineLevel="1" x14ac:dyDescent="0.3">
      <c r="A102" s="34"/>
      <c r="B102" s="10" t="str">
        <f>CONCATENATE("          ","6294", " - ","TRAVEL OPERATIONAL")</f>
        <v xml:space="preserve">          6294 - TRAVEL OPERATIONAL</v>
      </c>
      <c r="C102" s="14"/>
      <c r="D102" s="2">
        <v>40.32</v>
      </c>
      <c r="E102" s="2"/>
      <c r="F102" s="2"/>
      <c r="G102" s="2"/>
      <c r="H102" s="2"/>
      <c r="I102" s="2"/>
      <c r="J102" s="2">
        <v>25</v>
      </c>
      <c r="K102" s="2">
        <v>25</v>
      </c>
      <c r="L102" s="2">
        <v>25</v>
      </c>
      <c r="M102" s="2">
        <v>25</v>
      </c>
      <c r="N102" s="2">
        <v>25</v>
      </c>
      <c r="O102" s="2">
        <v>25</v>
      </c>
      <c r="P102" s="9"/>
      <c r="Q102" s="2">
        <f>SUM(OSRRefD21_17_0x)+IFERROR(SUM(OSRRefE21_17_0x),0)</f>
        <v>190.32</v>
      </c>
    </row>
    <row r="103" spans="1:17" s="29" customFormat="1" x14ac:dyDescent="0.3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3">
      <c r="A104" s="23"/>
      <c r="B104" s="16" t="s">
        <v>293</v>
      </c>
      <c r="C104" s="22"/>
      <c r="D104" s="3">
        <f>--35082.02</f>
        <v>35082.019999999997</v>
      </c>
      <c r="E104" s="3">
        <f>--56991</f>
        <v>56991</v>
      </c>
      <c r="F104" s="3">
        <f>-308.7</f>
        <v>-308.7</v>
      </c>
      <c r="G104" s="3">
        <f>--27298.8</f>
        <v>27298.799999999999</v>
      </c>
      <c r="H104" s="3">
        <f>0</f>
        <v>0</v>
      </c>
      <c r="I104" s="3">
        <f>--290</f>
        <v>290</v>
      </c>
      <c r="J104" s="3">
        <v>15571</v>
      </c>
      <c r="K104" s="3">
        <v>0</v>
      </c>
      <c r="L104" s="3">
        <v>58333</v>
      </c>
      <c r="M104" s="3">
        <v>29111</v>
      </c>
      <c r="N104" s="3">
        <v>250000</v>
      </c>
      <c r="O104" s="3">
        <v>208334</v>
      </c>
      <c r="Q104" s="2">
        <f>SUM(OSRRefD23_0x)+IFERROR(SUM(OSRRefE23_0x),0)</f>
        <v>680702.12</v>
      </c>
    </row>
    <row r="105" spans="1:17" x14ac:dyDescent="0.3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6"/>
      <c r="B106" s="17" t="s">
        <v>276</v>
      </c>
      <c r="C106" s="17"/>
      <c r="D106" s="7">
        <f t="shared" ref="D106:O106" si="3">IFERROR(+D38-D41+D104, 0)</f>
        <v>13094.379999999968</v>
      </c>
      <c r="E106" s="7">
        <f t="shared" si="3"/>
        <v>206615.71</v>
      </c>
      <c r="F106" s="7">
        <f t="shared" si="3"/>
        <v>80155.320000000036</v>
      </c>
      <c r="G106" s="7">
        <f t="shared" si="3"/>
        <v>129774.58000000003</v>
      </c>
      <c r="H106" s="7">
        <f t="shared" si="3"/>
        <v>62526.680000000008</v>
      </c>
      <c r="I106" s="7">
        <f t="shared" si="3"/>
        <v>118441.56000000006</v>
      </c>
      <c r="J106" s="7">
        <f t="shared" si="3"/>
        <v>32809.530502596142</v>
      </c>
      <c r="K106" s="7">
        <f t="shared" si="3"/>
        <v>28245.924402076926</v>
      </c>
      <c r="L106" s="7">
        <f t="shared" si="3"/>
        <v>95831.924402076926</v>
      </c>
      <c r="M106" s="7">
        <f t="shared" si="3"/>
        <v>17270.530502596142</v>
      </c>
      <c r="N106" s="7">
        <f t="shared" si="3"/>
        <v>267922.92440207693</v>
      </c>
      <c r="O106" s="7">
        <f t="shared" si="3"/>
        <v>215890.00836207691</v>
      </c>
      <c r="Q106" s="7">
        <f>IFERROR(+Q38-Q41+Q104, 0)</f>
        <v>1268579.0725735002</v>
      </c>
    </row>
    <row r="107" spans="1:17" s="6" customFormat="1" x14ac:dyDescent="0.3">
      <c r="B107" s="16"/>
      <c r="C107" s="16"/>
      <c r="D107" s="4">
        <f t="shared" ref="D107:O107" si="4">IFERROR(D106/D10, 0)</f>
        <v>0.10556516395864463</v>
      </c>
      <c r="E107" s="4">
        <f t="shared" si="4"/>
        <v>0.52224452222695528</v>
      </c>
      <c r="F107" s="4">
        <f t="shared" si="4"/>
        <v>0.28098072204062818</v>
      </c>
      <c r="G107" s="4">
        <f t="shared" si="4"/>
        <v>0.28859529524211514</v>
      </c>
      <c r="H107" s="4">
        <f t="shared" si="4"/>
        <v>0.26505206220224309</v>
      </c>
      <c r="I107" s="4">
        <f t="shared" si="4"/>
        <v>0.31719918416287446</v>
      </c>
      <c r="J107" s="4">
        <f t="shared" si="4"/>
        <v>0.13556648886692785</v>
      </c>
      <c r="K107" s="4">
        <f t="shared" si="4"/>
        <v>0.13076514155726454</v>
      </c>
      <c r="L107" s="4">
        <f t="shared" si="4"/>
        <v>0.41742279119294767</v>
      </c>
      <c r="M107" s="4">
        <f t="shared" si="4"/>
        <v>8.85318643540558E-2</v>
      </c>
      <c r="N107" s="4">
        <f t="shared" si="4"/>
        <v>1.3290816499346525</v>
      </c>
      <c r="O107" s="4">
        <f t="shared" si="4"/>
        <v>1.1085266970746528</v>
      </c>
      <c r="P107" s="18"/>
      <c r="Q107" s="4">
        <f>IFERROR(Q106/Q10, 0)</f>
        <v>0.40362842311876918</v>
      </c>
    </row>
    <row r="108" spans="1:17" x14ac:dyDescent="0.3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25"/>
      <c r="B109" s="6" t="s">
        <v>125</v>
      </c>
      <c r="C109" s="6"/>
      <c r="D109" s="3">
        <v>57306.31</v>
      </c>
      <c r="E109" s="3">
        <v>20349.7</v>
      </c>
      <c r="F109" s="3">
        <v>21976.04</v>
      </c>
      <c r="G109" s="3">
        <v>45391.360000000001</v>
      </c>
      <c r="H109" s="3">
        <v>32515.119999999999</v>
      </c>
      <c r="I109" s="3">
        <v>46822.879999999997</v>
      </c>
      <c r="J109" s="3">
        <v>24006</v>
      </c>
      <c r="K109" s="3">
        <v>21054</v>
      </c>
      <c r="L109" s="3">
        <v>27040</v>
      </c>
      <c r="M109" s="3">
        <v>26711</v>
      </c>
      <c r="N109" s="3">
        <v>27260</v>
      </c>
      <c r="O109" s="3">
        <v>-5369</v>
      </c>
      <c r="Q109" s="2">
        <f>SUM(OSRRefD28_0x)+IFERROR(SUM(OSRRefE28_0x),0)</f>
        <v>345063.41</v>
      </c>
    </row>
    <row r="110" spans="1:17" x14ac:dyDescent="0.3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124</v>
      </c>
      <c r="C111" s="17"/>
      <c r="D111" s="8">
        <f t="shared" ref="D111:O111" si="5">IFERROR(+D106-D109, 0)</f>
        <v>-44211.930000000029</v>
      </c>
      <c r="E111" s="8">
        <f t="shared" si="5"/>
        <v>186266.00999999998</v>
      </c>
      <c r="F111" s="8">
        <f t="shared" si="5"/>
        <v>58179.280000000035</v>
      </c>
      <c r="G111" s="8">
        <f t="shared" si="5"/>
        <v>84383.22000000003</v>
      </c>
      <c r="H111" s="8">
        <f t="shared" si="5"/>
        <v>30011.560000000009</v>
      </c>
      <c r="I111" s="8">
        <f t="shared" si="5"/>
        <v>71618.680000000051</v>
      </c>
      <c r="J111" s="8">
        <f t="shared" si="5"/>
        <v>8803.5305025961425</v>
      </c>
      <c r="K111" s="8">
        <f t="shared" si="5"/>
        <v>7191.9244020769256</v>
      </c>
      <c r="L111" s="8">
        <f t="shared" si="5"/>
        <v>68791.924402076926</v>
      </c>
      <c r="M111" s="8">
        <f t="shared" si="5"/>
        <v>-9440.4694974038575</v>
      </c>
      <c r="N111" s="8">
        <f t="shared" si="5"/>
        <v>240662.92440207693</v>
      </c>
      <c r="O111" s="8">
        <f t="shared" si="5"/>
        <v>221259.00836207691</v>
      </c>
      <c r="Q111" s="8">
        <f>IFERROR(+Q106-Q109, 0)</f>
        <v>923515.6625735003</v>
      </c>
    </row>
    <row r="112" spans="1:17" ht="15" thickTop="1" x14ac:dyDescent="0.3">
      <c r="A112" s="5"/>
      <c r="B112" s="5"/>
      <c r="C112" s="5"/>
      <c r="D112" s="4">
        <f t="shared" ref="D112:O112" si="6">IFERROR(D111/D10, 0)</f>
        <v>-0.35643074657816048</v>
      </c>
      <c r="E112" s="4">
        <f t="shared" si="6"/>
        <v>0.47080835914931768</v>
      </c>
      <c r="F112" s="4">
        <f t="shared" si="6"/>
        <v>0.20394474255986852</v>
      </c>
      <c r="G112" s="4">
        <f t="shared" si="6"/>
        <v>0.18765308498305566</v>
      </c>
      <c r="H112" s="4">
        <f t="shared" si="6"/>
        <v>0.12721970633825994</v>
      </c>
      <c r="I112" s="4">
        <f t="shared" si="6"/>
        <v>0.19180249624221413</v>
      </c>
      <c r="J112" s="4">
        <f t="shared" si="6"/>
        <v>3.6375519600179089E-2</v>
      </c>
      <c r="K112" s="4">
        <f t="shared" si="6"/>
        <v>3.3295175584254648E-2</v>
      </c>
      <c r="L112" s="4">
        <f t="shared" si="6"/>
        <v>0.29964249674221155</v>
      </c>
      <c r="M112" s="4">
        <f t="shared" si="6"/>
        <v>-4.8393554839390895E-2</v>
      </c>
      <c r="N112" s="4">
        <f t="shared" si="6"/>
        <v>1.1938533343357736</v>
      </c>
      <c r="O112" s="4">
        <f t="shared" si="6"/>
        <v>1.136094808641039</v>
      </c>
      <c r="P112" s="18"/>
      <c r="Q112" s="4">
        <f>IFERROR(Q111/Q10, 0)</f>
        <v>0.29383834139233767</v>
      </c>
    </row>
    <row r="113" spans="1:17" x14ac:dyDescent="0.3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" thickBot="1" x14ac:dyDescent="0.35">
      <c r="A115" s="6"/>
      <c r="B115" s="17" t="s">
        <v>294</v>
      </c>
      <c r="C115" s="17"/>
      <c r="D115" s="8">
        <f t="shared" ref="D115:O115" si="7">IFERROR(SUM(D111:D114), 0)</f>
        <v>-44212.286430746608</v>
      </c>
      <c r="E115" s="8">
        <f t="shared" si="7"/>
        <v>186266.48080835913</v>
      </c>
      <c r="F115" s="8">
        <f t="shared" si="7"/>
        <v>58179.483944742598</v>
      </c>
      <c r="G115" s="8">
        <f t="shared" si="7"/>
        <v>84383.407653085014</v>
      </c>
      <c r="H115" s="8">
        <f t="shared" si="7"/>
        <v>30011.687219706346</v>
      </c>
      <c r="I115" s="8">
        <f t="shared" si="7"/>
        <v>71618.871802496287</v>
      </c>
      <c r="J115" s="8">
        <f t="shared" si="7"/>
        <v>8803.5668781157419</v>
      </c>
      <c r="K115" s="8">
        <f t="shared" si="7"/>
        <v>7191.9576972525101</v>
      </c>
      <c r="L115" s="8">
        <f t="shared" si="7"/>
        <v>68792.224044573668</v>
      </c>
      <c r="M115" s="8">
        <f t="shared" si="7"/>
        <v>-9440.5178909586975</v>
      </c>
      <c r="N115" s="8">
        <f t="shared" si="7"/>
        <v>240664.11825541127</v>
      </c>
      <c r="O115" s="8">
        <f t="shared" si="7"/>
        <v>221260.14445688555</v>
      </c>
      <c r="Q115" s="8">
        <f>IFERROR(SUM(Q111:Q114), 0)</f>
        <v>923515.95641184167</v>
      </c>
    </row>
    <row r="116" spans="1:17" ht="15" thickTop="1" x14ac:dyDescent="0.3">
      <c r="A116" s="5"/>
      <c r="C116" s="5"/>
      <c r="D116" s="4">
        <f t="shared" ref="D116:O116" si="8">IFERROR(D115/D10, 0)</f>
        <v>-0.35643362007581386</v>
      </c>
      <c r="E116" s="4">
        <f t="shared" si="8"/>
        <v>0.47080954917057299</v>
      </c>
      <c r="F116" s="4">
        <f t="shared" si="8"/>
        <v>0.20394545747861656</v>
      </c>
      <c r="G116" s="4">
        <f t="shared" si="8"/>
        <v>0.18765350228972286</v>
      </c>
      <c r="H116" s="4">
        <f t="shared" si="8"/>
        <v>0.12722024562557724</v>
      </c>
      <c r="I116" s="4">
        <f t="shared" si="8"/>
        <v>0.19180300990984334</v>
      </c>
      <c r="J116" s="4">
        <f t="shared" si="8"/>
        <v>3.6375669901064146E-2</v>
      </c>
      <c r="K116" s="4">
        <f t="shared" si="8"/>
        <v>3.3295329725017989E-2</v>
      </c>
      <c r="L116" s="4">
        <f t="shared" si="8"/>
        <v>0.299643801919042</v>
      </c>
      <c r="M116" s="4">
        <f t="shared" si="8"/>
        <v>-4.8393802913509525E-2</v>
      </c>
      <c r="N116" s="4">
        <f t="shared" si="8"/>
        <v>1.1938592566679627</v>
      </c>
      <c r="O116" s="4">
        <f t="shared" si="8"/>
        <v>1.1361006421274302</v>
      </c>
      <c r="P116" s="18"/>
      <c r="Q116" s="4">
        <f>IFERROR(Q115/Q10, 0)</f>
        <v>0.29383843488395278</v>
      </c>
    </row>
    <row r="117" spans="1:17" x14ac:dyDescent="0.3">
      <c r="A117" s="5"/>
      <c r="B117" s="28">
        <v>44575.850692245367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Q117" s="13"/>
    </row>
    <row r="118" spans="1:17" x14ac:dyDescent="0.3">
      <c r="A118" s="5"/>
      <c r="B118" s="26" t="s">
        <v>54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Q118" s="13"/>
    </row>
    <row r="119" spans="1:17" x14ac:dyDescent="0.3">
      <c r="A119" s="5"/>
      <c r="B119" s="3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Q119" s="13"/>
    </row>
    <row r="120" spans="1:17" x14ac:dyDescent="0.3"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","326", " - ", "2nd Street Store")</f>
        <v>Department 326 - 2nd Street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31810.87</v>
      </c>
      <c r="E10" s="3">
        <f>SUM(OSRRefD11x_1)</f>
        <v>35035.19</v>
      </c>
      <c r="F10" s="3">
        <f>SUM(OSRRefD11x_2)</f>
        <v>22628.5</v>
      </c>
      <c r="G10" s="3">
        <f>SUM(OSRRefD11x_3)</f>
        <v>28354.14</v>
      </c>
      <c r="H10" s="3">
        <f>SUM(OSRRefD11x_4)</f>
        <v>29384.78</v>
      </c>
      <c r="I10" s="3">
        <f>SUM(OSRRefD11x_5)</f>
        <v>57501.1</v>
      </c>
      <c r="J10" s="3">
        <f>SUM(OSRRefE11x_0)</f>
        <v>22087</v>
      </c>
      <c r="K10" s="3">
        <f>SUM(OSRRefE11x_1)</f>
        <v>24103</v>
      </c>
      <c r="L10" s="3">
        <f>SUM(OSRRefE11x_2)</f>
        <v>27969</v>
      </c>
      <c r="M10" s="3">
        <f>SUM(OSRRefE11x_3)</f>
        <v>60655</v>
      </c>
      <c r="N10" s="3">
        <f>SUM(OSRRefE11x_4)</f>
        <v>62718</v>
      </c>
      <c r="O10" s="3">
        <f>SUM(OSRRefE11x_5)</f>
        <v>60655</v>
      </c>
      <c r="P10" s="24"/>
      <c r="Q10" s="3">
        <f>SUM(OSRRefG11x)</f>
        <v>462901.58000000007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--32806.68</f>
        <v>32806.68</v>
      </c>
      <c r="E11" s="2">
        <f>--36008.12</f>
        <v>36008.120000000003</v>
      </c>
      <c r="F11" s="2">
        <f>--23239.34</f>
        <v>23239.34</v>
      </c>
      <c r="G11" s="2">
        <f>--29575.76</f>
        <v>29575.759999999998</v>
      </c>
      <c r="H11" s="2">
        <f>--30610.98</f>
        <v>30610.98</v>
      </c>
      <c r="I11" s="2">
        <f>--63783.79</f>
        <v>63783.79</v>
      </c>
      <c r="J11" s="2">
        <v>22087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474211.67000000004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--18</f>
        <v>18</v>
      </c>
      <c r="E12" s="2">
        <f>--1.5</f>
        <v>1.5</v>
      </c>
      <c r="F12" s="2">
        <f>--6.3</f>
        <v>6.3</v>
      </c>
      <c r="G12" s="2">
        <f>--108.3</f>
        <v>108.3</v>
      </c>
      <c r="H12" s="2">
        <f>--7.8</f>
        <v>7.8</v>
      </c>
      <c r="I12" s="2">
        <f>--11.25</f>
        <v>11.25</v>
      </c>
      <c r="J12" s="2"/>
      <c r="K12" s="2"/>
      <c r="L12" s="2"/>
      <c r="M12" s="2"/>
      <c r="N12" s="2"/>
      <c r="O12" s="2"/>
      <c r="Q12" s="2">
        <f>SUM(OSRRefD11_1x)+IFERROR(SUM(OSRRefE11_1x),0)</f>
        <v>153.15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-1013.81</f>
        <v>-1013.81</v>
      </c>
      <c r="E13" s="2">
        <f>-974.43</f>
        <v>-974.43</v>
      </c>
      <c r="F13" s="2">
        <f>-617.14</f>
        <v>-617.14</v>
      </c>
      <c r="G13" s="2">
        <f>-992.14</f>
        <v>-992.14</v>
      </c>
      <c r="H13" s="2">
        <f>-1074.92</f>
        <v>-1074.92</v>
      </c>
      <c r="I13" s="2">
        <f>-2107.04</f>
        <v>-2107.04</v>
      </c>
      <c r="J13" s="2"/>
      <c r="K13" s="2"/>
      <c r="L13" s="2"/>
      <c r="M13" s="2"/>
      <c r="N13" s="2"/>
      <c r="O13" s="2"/>
      <c r="Q13" s="2">
        <f>SUM(OSRRefD11_2x)+IFERROR(SUM(OSRRefE11_2x),0)</f>
        <v>-6779.48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ref="D14:F14" si="0">0</f>
        <v>0</v>
      </c>
      <c r="E14" s="2">
        <f t="shared" si="0"/>
        <v>0</v>
      </c>
      <c r="F14" s="2">
        <f t="shared" si="0"/>
        <v>0</v>
      </c>
      <c r="G14" s="2">
        <f>-337.78</f>
        <v>-337.78</v>
      </c>
      <c r="H14" s="2">
        <f>-159.08</f>
        <v>-159.08000000000001</v>
      </c>
      <c r="I14" s="2">
        <f>-4186.9</f>
        <v>-4186.8999999999996</v>
      </c>
      <c r="J14" s="2"/>
      <c r="K14" s="2"/>
      <c r="L14" s="2"/>
      <c r="M14" s="2"/>
      <c r="N14" s="2"/>
      <c r="O14" s="2"/>
      <c r="Q14" s="2">
        <f>SUM(OSRRefD11_3x)+IFERROR(SUM(OSRRefE11_3x),0)</f>
        <v>-4683.7599999999993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15982.33</v>
      </c>
      <c r="E16" s="3">
        <f>SUM(OSRRefD14x_1)</f>
        <v>16630.45</v>
      </c>
      <c r="F16" s="3">
        <f>SUM(OSRRefD14x_2)</f>
        <v>10953.43</v>
      </c>
      <c r="G16" s="3">
        <f>SUM(OSRRefD14x_3)</f>
        <v>12923.67</v>
      </c>
      <c r="H16" s="3">
        <f>SUM(OSRRefD14x_4)</f>
        <v>13659.65</v>
      </c>
      <c r="I16" s="3">
        <f>SUM(OSRRefD14x_5)</f>
        <v>26614.14</v>
      </c>
      <c r="J16" s="3">
        <f>SUM(OSRRefE14x_0)</f>
        <v>9939</v>
      </c>
      <c r="K16" s="3">
        <f>SUM(OSRRefE14x_1)</f>
        <v>10847</v>
      </c>
      <c r="L16" s="3">
        <f>SUM(OSRRefE14x_2)</f>
        <v>12586</v>
      </c>
      <c r="M16" s="3">
        <f>SUM(OSRRefE14x_3)</f>
        <v>27295</v>
      </c>
      <c r="N16" s="3">
        <f>SUM(OSRRefE14x_4)</f>
        <v>28223</v>
      </c>
      <c r="O16" s="3">
        <f>SUM(OSRRefE14x_5)</f>
        <v>25709</v>
      </c>
      <c r="Q16" s="3">
        <f>SUM(OSRRefG14x)</f>
        <v>211362.66999999998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>
        <v>666.1</v>
      </c>
      <c r="G17" s="2">
        <v>507.6</v>
      </c>
      <c r="H17" s="2"/>
      <c r="I17" s="2">
        <v>507.6</v>
      </c>
      <c r="J17" s="2">
        <v>9939</v>
      </c>
      <c r="K17" s="2">
        <v>10847</v>
      </c>
      <c r="L17" s="2">
        <v>12586</v>
      </c>
      <c r="M17" s="2">
        <v>27295</v>
      </c>
      <c r="N17" s="2">
        <v>28223</v>
      </c>
      <c r="O17" s="2">
        <v>25709</v>
      </c>
      <c r="Q17" s="2">
        <f>SUM(OSRRefD14_0x)+IFERROR(SUM(OSRRefE14_0x),0)</f>
        <v>116280.3</v>
      </c>
    </row>
    <row r="18" spans="1:17" s="9" customFormat="1" hidden="1" outlineLevel="1" x14ac:dyDescent="0.3">
      <c r="A18" s="23"/>
      <c r="B18" s="10" t="str">
        <f>CONCATENATE("          ","5200", " - ","PURCHASES OFFSET")</f>
        <v xml:space="preserve">          5200 - PURCHASES OFFSET</v>
      </c>
      <c r="C18" s="22"/>
      <c r="D18" s="2"/>
      <c r="E18" s="2"/>
      <c r="F18" s="2">
        <v>-666.1</v>
      </c>
      <c r="G18" s="2">
        <v>-559.67999999999995</v>
      </c>
      <c r="H18" s="2"/>
      <c r="I18" s="2">
        <v>-548.51</v>
      </c>
      <c r="J18" s="2"/>
      <c r="K18" s="2"/>
      <c r="L18" s="2"/>
      <c r="M18" s="2"/>
      <c r="N18" s="2"/>
      <c r="O18" s="2"/>
      <c r="Q18" s="2">
        <f>SUM(OSRRefD14_1x)+IFERROR(SUM(OSRRefE14_1x),0)</f>
        <v>-1774.29</v>
      </c>
    </row>
    <row r="19" spans="1:17" s="9" customFormat="1" hidden="1" outlineLevel="1" x14ac:dyDescent="0.3">
      <c r="A19" s="23"/>
      <c r="B19" s="10" t="str">
        <f>CONCATENATE("          ","5300", " - ","COG$ OFFSET")</f>
        <v xml:space="preserve">          5300 - COG$ OFFSET</v>
      </c>
      <c r="C19" s="22"/>
      <c r="D19" s="2">
        <v>15982.33</v>
      </c>
      <c r="E19" s="2">
        <v>16630.45</v>
      </c>
      <c r="F19" s="2">
        <v>10953.43</v>
      </c>
      <c r="G19" s="2">
        <v>12923.67</v>
      </c>
      <c r="H19" s="2">
        <v>13659.65</v>
      </c>
      <c r="I19" s="2">
        <v>26614.14</v>
      </c>
      <c r="J19" s="2"/>
      <c r="K19" s="2"/>
      <c r="L19" s="2"/>
      <c r="M19" s="2"/>
      <c r="N19" s="2"/>
      <c r="O19" s="2"/>
      <c r="Q19" s="2">
        <f>SUM(OSRRefD14_2x)+IFERROR(SUM(OSRRefE14_2x),0)</f>
        <v>96763.67</v>
      </c>
    </row>
    <row r="20" spans="1:17" s="9" customFormat="1" hidden="1" outlineLevel="1" x14ac:dyDescent="0.3">
      <c r="A20" s="23"/>
      <c r="B20" s="10" t="str">
        <f>CONCATENATE("          ","5500", " - ","FREIGHT-IN")</f>
        <v xml:space="preserve">          5500 - FREIGHT-IN</v>
      </c>
      <c r="C20" s="22"/>
      <c r="D20" s="2"/>
      <c r="E20" s="2"/>
      <c r="F20" s="2"/>
      <c r="G20" s="2">
        <v>52.08</v>
      </c>
      <c r="H20" s="2"/>
      <c r="I20" s="2">
        <v>40.909999999999997</v>
      </c>
      <c r="J20" s="2"/>
      <c r="K20" s="2"/>
      <c r="L20" s="2"/>
      <c r="M20" s="2"/>
      <c r="N20" s="2"/>
      <c r="O20" s="2"/>
      <c r="Q20" s="2">
        <f>SUM(OSRRefD14_3x)+IFERROR(SUM(OSRRefE14_3x),0)</f>
        <v>92.99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7">
        <f t="shared" ref="D22:O22" si="1">IFERROR(+D10-D16, 0)</f>
        <v>15828.539999999999</v>
      </c>
      <c r="E22" s="7">
        <f t="shared" si="1"/>
        <v>18404.740000000002</v>
      </c>
      <c r="F22" s="7">
        <f t="shared" si="1"/>
        <v>11675.07</v>
      </c>
      <c r="G22" s="7">
        <f t="shared" si="1"/>
        <v>15430.47</v>
      </c>
      <c r="H22" s="7">
        <f t="shared" si="1"/>
        <v>15725.13</v>
      </c>
      <c r="I22" s="7">
        <f t="shared" si="1"/>
        <v>30886.959999999999</v>
      </c>
      <c r="J22" s="7">
        <f t="shared" si="1"/>
        <v>12148</v>
      </c>
      <c r="K22" s="7">
        <f t="shared" si="1"/>
        <v>13256</v>
      </c>
      <c r="L22" s="7">
        <f t="shared" si="1"/>
        <v>15383</v>
      </c>
      <c r="M22" s="7">
        <f t="shared" si="1"/>
        <v>33360</v>
      </c>
      <c r="N22" s="7">
        <f t="shared" si="1"/>
        <v>34495</v>
      </c>
      <c r="O22" s="7">
        <f t="shared" si="1"/>
        <v>34946</v>
      </c>
      <c r="Q22" s="7">
        <f>IFERROR(+Q10-Q16, 0)</f>
        <v>251538.91000000009</v>
      </c>
    </row>
    <row r="23" spans="1:17" s="6" customFormat="1" x14ac:dyDescent="0.3">
      <c r="B23" s="16"/>
      <c r="C23" s="16"/>
      <c r="D23" s="4">
        <f t="shared" ref="D23:O23" si="2">IFERROR(D22/D10, 0)</f>
        <v>0.49758274451468948</v>
      </c>
      <c r="E23" s="4">
        <f t="shared" si="2"/>
        <v>0.5253215409992068</v>
      </c>
      <c r="F23" s="4">
        <f t="shared" si="2"/>
        <v>0.51594537861546275</v>
      </c>
      <c r="G23" s="4">
        <f t="shared" si="2"/>
        <v>0.54420518485131275</v>
      </c>
      <c r="H23" s="4">
        <f t="shared" si="2"/>
        <v>0.53514540520636877</v>
      </c>
      <c r="I23" s="4">
        <f t="shared" si="2"/>
        <v>0.53715424574486403</v>
      </c>
      <c r="J23" s="4">
        <f t="shared" si="2"/>
        <v>0.55000679132521391</v>
      </c>
      <c r="K23" s="4">
        <f t="shared" si="2"/>
        <v>0.54997303240260553</v>
      </c>
      <c r="L23" s="4">
        <f t="shared" si="2"/>
        <v>0.55000178769351782</v>
      </c>
      <c r="M23" s="4">
        <f t="shared" si="2"/>
        <v>0.54999587832824992</v>
      </c>
      <c r="N23" s="4">
        <f t="shared" si="2"/>
        <v>0.5500015944385982</v>
      </c>
      <c r="O23" s="4">
        <f t="shared" si="2"/>
        <v>0.57614376391064215</v>
      </c>
      <c r="P23" s="18"/>
      <c r="Q23" s="4">
        <f>IFERROR(Q22/Q10, 0)</f>
        <v>0.54339609296645752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2">
        <f>SUM(OSRRefD20x_0)</f>
        <v>16901.780000000002</v>
      </c>
      <c r="E25" s="12">
        <f>SUM(OSRRefD20x_1)</f>
        <v>16384.269999999997</v>
      </c>
      <c r="F25" s="12">
        <f>SUM(OSRRefD20x_2)</f>
        <v>14719.13</v>
      </c>
      <c r="G25" s="12">
        <f>SUM(OSRRefD20x_3)</f>
        <v>17942.8</v>
      </c>
      <c r="H25" s="12">
        <f>SUM(OSRRefD20x_4)</f>
        <v>18259.380000000005</v>
      </c>
      <c r="I25" s="12">
        <f>SUM(OSRRefD20x_5)</f>
        <v>19088.78</v>
      </c>
      <c r="J25" s="12">
        <f>SUM(OSRRefE20x_0)</f>
        <v>23803.408929961544</v>
      </c>
      <c r="K25" s="12">
        <f>SUM(OSRRefE20x_1)</f>
        <v>23212.02714396923</v>
      </c>
      <c r="L25" s="12">
        <f>SUM(OSRRefE20x_2)</f>
        <v>20689.02714396923</v>
      </c>
      <c r="M25" s="12">
        <f>SUM(OSRRefE20x_3)</f>
        <v>24054.408929961544</v>
      </c>
      <c r="N25" s="12">
        <f>SUM(OSRRefE20x_4)</f>
        <v>21364.02714396923</v>
      </c>
      <c r="O25" s="12">
        <f>SUM(OSRRefE20x_5)</f>
        <v>21635.062167269229</v>
      </c>
      <c r="Q25" s="12">
        <f>SUM(OSRRefG20x)</f>
        <v>238054.10145910003</v>
      </c>
    </row>
    <row r="26" spans="1:17" s="35" customFormat="1" collapsed="1" x14ac:dyDescent="0.3">
      <c r="A26" s="34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1300.4500000000003</v>
      </c>
      <c r="E26" s="1">
        <f>SUM(OSRRefD21_0x_1)</f>
        <v>1377.0500000000002</v>
      </c>
      <c r="F26" s="1">
        <f>SUM(OSRRefD21_0x_2)</f>
        <v>1131.5899999999999</v>
      </c>
      <c r="G26" s="1">
        <f>SUM(OSRRefD21_0x_3)</f>
        <v>1409.69</v>
      </c>
      <c r="H26" s="1">
        <f>SUM(OSRRefD21_0x_4)</f>
        <v>1203.0000000000002</v>
      </c>
      <c r="I26" s="1">
        <f>SUM(OSRRefD21_0x_5)</f>
        <v>1169.6900000000003</v>
      </c>
      <c r="J26" s="1">
        <f>SUM(OSRRefE21_0x_0)</f>
        <v>2932.8643145769224</v>
      </c>
      <c r="K26" s="1">
        <f>SUM(OSRRefE21_0x_1)</f>
        <v>2543.991451661539</v>
      </c>
      <c r="L26" s="1">
        <f>SUM(OSRRefE21_0x_2)</f>
        <v>2543.991451661539</v>
      </c>
      <c r="M26" s="1">
        <f>SUM(OSRRefE21_0x_3)</f>
        <v>2932.8643145769224</v>
      </c>
      <c r="N26" s="1">
        <f>SUM(OSRRefE21_0x_4)</f>
        <v>2543.991451661539</v>
      </c>
      <c r="O26" s="1">
        <f>SUM(OSRRefE21_0x_5)</f>
        <v>2726.026474961539</v>
      </c>
      <c r="Q26" s="2">
        <f>SUM(OSRRefD20_0x)+IFERROR(SUM(OSRRefE20_0x),0)</f>
        <v>23815.1994591</v>
      </c>
    </row>
    <row r="27" spans="1:17" s="35" customFormat="1" hidden="1" outlineLevel="1" x14ac:dyDescent="0.3">
      <c r="A27" s="34"/>
      <c r="B27" s="10" t="str">
        <f>CONCATENATE("          ","6111", " - ","F.I.C.A.")</f>
        <v xml:space="preserve">          6111 - F.I.C.A.</v>
      </c>
      <c r="C27" s="14"/>
      <c r="D27" s="2">
        <v>402.97</v>
      </c>
      <c r="E27" s="2">
        <v>391.29</v>
      </c>
      <c r="F27" s="2">
        <v>152.18</v>
      </c>
      <c r="G27" s="2">
        <v>313.55</v>
      </c>
      <c r="H27" s="2">
        <v>231.52</v>
      </c>
      <c r="I27" s="2">
        <v>153.02000000000001</v>
      </c>
      <c r="J27" s="2">
        <v>740.25276121153797</v>
      </c>
      <c r="K27" s="2">
        <v>592.20220896923104</v>
      </c>
      <c r="L27" s="2">
        <v>592.20220896923104</v>
      </c>
      <c r="M27" s="2">
        <v>740.25276121153797</v>
      </c>
      <c r="N27" s="2">
        <v>592.20220896923104</v>
      </c>
      <c r="O27" s="2">
        <v>774.23723226923096</v>
      </c>
      <c r="P27" s="9"/>
      <c r="Q27" s="2">
        <f>SUM(OSRRefD21_0_0x)+IFERROR(SUM(OSRRefE21_0_0x),0)</f>
        <v>5675.8793815999998</v>
      </c>
    </row>
    <row r="28" spans="1:17" s="35" customFormat="1" hidden="1" outlineLevel="1" x14ac:dyDescent="0.3">
      <c r="A28" s="34"/>
      <c r="B28" s="10" t="str">
        <f>CONCATENATE("          ","6112", " - ","COMPENSATION INSURANCE")</f>
        <v xml:space="preserve">          6112 - COMPENSATION INSURANCE</v>
      </c>
      <c r="C28" s="14"/>
      <c r="D28" s="2">
        <v>36.79</v>
      </c>
      <c r="E28" s="2">
        <v>47.61</v>
      </c>
      <c r="F28" s="2">
        <v>73.31</v>
      </c>
      <c r="G28" s="2">
        <v>46.33</v>
      </c>
      <c r="H28" s="2">
        <v>18.3</v>
      </c>
      <c r="I28" s="2">
        <v>91.65</v>
      </c>
      <c r="J28" s="2">
        <v>197.27722499999999</v>
      </c>
      <c r="K28" s="2">
        <v>157.82177999999999</v>
      </c>
      <c r="L28" s="2">
        <v>157.82177999999999</v>
      </c>
      <c r="M28" s="2">
        <v>197.27722499999999</v>
      </c>
      <c r="N28" s="2">
        <v>157.82177999999999</v>
      </c>
      <c r="O28" s="2">
        <v>157.82177999999999</v>
      </c>
      <c r="P28" s="9"/>
      <c r="Q28" s="2">
        <f>SUM(OSRRefD21_0_1x)+IFERROR(SUM(OSRRefE21_0_1x),0)</f>
        <v>1339.8315700000001</v>
      </c>
    </row>
    <row r="29" spans="1:17" s="35" customFormat="1" hidden="1" outlineLevel="1" x14ac:dyDescent="0.3">
      <c r="A29" s="34"/>
      <c r="B29" s="10" t="str">
        <f>CONCATENATE("          ","6113", " - ","GROUP INSURANCE")</f>
        <v xml:space="preserve">          6113 - GROUP INSURANCE</v>
      </c>
      <c r="C29" s="14"/>
      <c r="D29" s="2">
        <v>526.70000000000005</v>
      </c>
      <c r="E29" s="2">
        <v>526.70000000000005</v>
      </c>
      <c r="F29" s="2">
        <v>537.95000000000005</v>
      </c>
      <c r="G29" s="2">
        <v>526.70000000000005</v>
      </c>
      <c r="H29" s="2">
        <v>526.70000000000005</v>
      </c>
      <c r="I29" s="2">
        <v>526.70000000000005</v>
      </c>
      <c r="J29" s="2">
        <v>988.5</v>
      </c>
      <c r="K29" s="2">
        <v>988.5</v>
      </c>
      <c r="L29" s="2">
        <v>988.5</v>
      </c>
      <c r="M29" s="2">
        <v>988.5</v>
      </c>
      <c r="N29" s="2">
        <v>988.5</v>
      </c>
      <c r="O29" s="2">
        <v>988.5</v>
      </c>
      <c r="P29" s="9"/>
      <c r="Q29" s="2">
        <f>SUM(OSRRefD21_0_2x)+IFERROR(SUM(OSRRefE21_0_2x),0)</f>
        <v>9102.4500000000007</v>
      </c>
    </row>
    <row r="30" spans="1:17" s="35" customFormat="1" hidden="1" outlineLevel="1" x14ac:dyDescent="0.3">
      <c r="A30" s="34"/>
      <c r="B30" s="10" t="str">
        <f>CONCATENATE("          ","6114", " - ","STATE UNEMPLOYMENT INSURANCE")</f>
        <v xml:space="preserve">          6114 - STATE UNEMPLOYMENT INSURANCE</v>
      </c>
      <c r="C30" s="14"/>
      <c r="D30" s="2">
        <v>6.46</v>
      </c>
      <c r="E30" s="2">
        <v>8.36</v>
      </c>
      <c r="F30" s="2">
        <v>12.88</v>
      </c>
      <c r="G30" s="2">
        <v>8.14</v>
      </c>
      <c r="H30" s="2">
        <v>3.22</v>
      </c>
      <c r="I30" s="2">
        <v>16.100000000000001</v>
      </c>
      <c r="J30" s="2">
        <v>26.556549519230799</v>
      </c>
      <c r="K30" s="2">
        <v>21.245239615384602</v>
      </c>
      <c r="L30" s="2">
        <v>21.245239615384602</v>
      </c>
      <c r="M30" s="2">
        <v>26.556549519230799</v>
      </c>
      <c r="N30" s="2">
        <v>21.245239615384602</v>
      </c>
      <c r="O30" s="2">
        <v>21.245239615384602</v>
      </c>
      <c r="P30" s="9"/>
      <c r="Q30" s="2">
        <f>SUM(OSRRefD21_0_3x)+IFERROR(SUM(OSRRefE21_0_3x),0)</f>
        <v>193.25405750000002</v>
      </c>
    </row>
    <row r="31" spans="1:17" s="35" customFormat="1" hidden="1" outlineLevel="1" x14ac:dyDescent="0.3">
      <c r="A31" s="34"/>
      <c r="B31" s="10" t="str">
        <f>CONCATENATE("          ","6115", " - ","P.E.R.S.")</f>
        <v xml:space="preserve">          6115 - P.E.R.S.</v>
      </c>
      <c r="C31" s="14"/>
      <c r="D31" s="2">
        <v>88.89</v>
      </c>
      <c r="E31" s="2">
        <v>88.89</v>
      </c>
      <c r="F31" s="2">
        <v>88.89</v>
      </c>
      <c r="G31" s="2">
        <v>133.34</v>
      </c>
      <c r="H31" s="2">
        <v>92.45</v>
      </c>
      <c r="I31" s="2">
        <v>92.45</v>
      </c>
      <c r="J31" s="2">
        <v>257.64855769230797</v>
      </c>
      <c r="K31" s="2">
        <v>206.11884615384599</v>
      </c>
      <c r="L31" s="2">
        <v>206.11884615384599</v>
      </c>
      <c r="M31" s="2">
        <v>257.64855769230797</v>
      </c>
      <c r="N31" s="2">
        <v>206.11884615384599</v>
      </c>
      <c r="O31" s="2">
        <v>206.11884615384599</v>
      </c>
      <c r="P31" s="9"/>
      <c r="Q31" s="2">
        <f>SUM(OSRRefD21_0_4x)+IFERROR(SUM(OSRRefE21_0_4x),0)</f>
        <v>1924.6824999999999</v>
      </c>
    </row>
    <row r="32" spans="1:17" s="35" customFormat="1" hidden="1" outlineLevel="1" x14ac:dyDescent="0.3">
      <c r="A32" s="34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85.64</v>
      </c>
      <c r="E33" s="2">
        <v>85.64</v>
      </c>
      <c r="F33" s="2">
        <v>85.64</v>
      </c>
      <c r="G33" s="2">
        <v>128.46</v>
      </c>
      <c r="H33" s="2">
        <v>89.07</v>
      </c>
      <c r="I33" s="2">
        <v>89.07</v>
      </c>
      <c r="J33" s="2">
        <v>149.79567307692301</v>
      </c>
      <c r="K33" s="2">
        <v>119.836538461538</v>
      </c>
      <c r="L33" s="2">
        <v>119.836538461538</v>
      </c>
      <c r="M33" s="2">
        <v>149.79567307692301</v>
      </c>
      <c r="N33" s="2">
        <v>119.836538461538</v>
      </c>
      <c r="O33" s="2">
        <v>119.836538461538</v>
      </c>
      <c r="P33" s="9"/>
      <c r="Q33" s="2">
        <f>SUM(OSRRefD21_0_6x)+IFERROR(SUM(OSRRefE21_0_6x),0)</f>
        <v>1342.4574999999979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54.02</v>
      </c>
      <c r="E34" s="2">
        <v>54.02</v>
      </c>
      <c r="F34" s="2">
        <v>54.02</v>
      </c>
      <c r="G34" s="2">
        <v>81.03</v>
      </c>
      <c r="H34" s="2">
        <v>56.18</v>
      </c>
      <c r="I34" s="2">
        <v>56.18</v>
      </c>
      <c r="J34" s="2">
        <v>572.83354807692297</v>
      </c>
      <c r="K34" s="2">
        <v>458.26683846153901</v>
      </c>
      <c r="L34" s="2">
        <v>458.26683846153901</v>
      </c>
      <c r="M34" s="2">
        <v>572.83354807692297</v>
      </c>
      <c r="N34" s="2">
        <v>458.26683846153901</v>
      </c>
      <c r="O34" s="2">
        <v>458.26683846153901</v>
      </c>
      <c r="P34" s="9"/>
      <c r="Q34" s="2">
        <f>SUM(OSRRefD21_0_7x)+IFERROR(SUM(OSRRefE21_0_7x),0)</f>
        <v>3334.1844500000016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98.98</v>
      </c>
      <c r="E35" s="2">
        <v>174.54</v>
      </c>
      <c r="F35" s="2">
        <v>126.72</v>
      </c>
      <c r="G35" s="2">
        <v>172.14</v>
      </c>
      <c r="H35" s="2">
        <v>185.56</v>
      </c>
      <c r="I35" s="2">
        <v>144.52000000000001</v>
      </c>
      <c r="J35" s="2"/>
      <c r="K35" s="2"/>
      <c r="L35" s="2"/>
      <c r="M35" s="2"/>
      <c r="N35" s="2"/>
      <c r="O35" s="2"/>
      <c r="P35" s="9"/>
      <c r="Q35" s="2">
        <f>SUM(OSRRefD21_0_8x)+IFERROR(SUM(OSRRefE21_0_8x),0)</f>
        <v>902.46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6539.68</v>
      </c>
      <c r="E36" s="1">
        <f>SUM(OSRRefD21_1x_1)</f>
        <v>5592.55</v>
      </c>
      <c r="F36" s="1">
        <f>SUM(OSRRefD21_1x_2)</f>
        <v>5414.35</v>
      </c>
      <c r="G36" s="1">
        <f>SUM(OSRRefD21_1x_3)</f>
        <v>7573.19</v>
      </c>
      <c r="H36" s="1">
        <f>SUM(OSRRefD21_1x_4)</f>
        <v>7344.47</v>
      </c>
      <c r="I36" s="1">
        <f>SUM(OSRRefD21_1x_5)</f>
        <v>8229.0500000000011</v>
      </c>
      <c r="J36" s="1">
        <f>SUM(OSRRefE21_1x_0)</f>
        <v>12012.544615384621</v>
      </c>
      <c r="K36" s="1">
        <f>SUM(OSRRefE21_1x_1)</f>
        <v>9610.0356923076906</v>
      </c>
      <c r="L36" s="1">
        <f>SUM(OSRRefE21_1x_2)</f>
        <v>9610.0356923076906</v>
      </c>
      <c r="M36" s="1">
        <f>SUM(OSRRefE21_1x_3)</f>
        <v>12012.544615384621</v>
      </c>
      <c r="N36" s="1">
        <f>SUM(OSRRefE21_1x_4)</f>
        <v>9610.0356923076906</v>
      </c>
      <c r="O36" s="1">
        <f>SUM(OSRRefE21_1x_5)</f>
        <v>9610.0356923076906</v>
      </c>
      <c r="Q36" s="2">
        <f>SUM(OSRRefD20_1x)+IFERROR(SUM(OSRRefE20_1x),0)</f>
        <v>103158.522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1405.6</v>
      </c>
      <c r="E38" s="2">
        <v>1171.1600000000001</v>
      </c>
      <c r="F38" s="2">
        <v>1112.5999999999999</v>
      </c>
      <c r="G38" s="2">
        <v>1229.51</v>
      </c>
      <c r="H38" s="2">
        <v>1218</v>
      </c>
      <c r="I38" s="2">
        <v>1218</v>
      </c>
      <c r="J38" s="2">
        <v>2696.3221153846198</v>
      </c>
      <c r="K38" s="2">
        <v>2157.0576923076901</v>
      </c>
      <c r="L38" s="2">
        <v>2157.0576923076901</v>
      </c>
      <c r="M38" s="2">
        <v>2696.3221153846198</v>
      </c>
      <c r="N38" s="2">
        <v>2157.0576923076901</v>
      </c>
      <c r="O38" s="2">
        <v>2157.0576923076901</v>
      </c>
      <c r="P38" s="9"/>
      <c r="Q38" s="2">
        <f>SUM(OSRRefD21_1_1x)+IFERROR(SUM(OSRRefE21_1_1x),0)</f>
        <v>21375.744999999999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231.35</v>
      </c>
      <c r="E40" s="2"/>
      <c r="F40" s="2"/>
      <c r="G40" s="2">
        <v>1715.4</v>
      </c>
      <c r="H40" s="2">
        <v>1547.39</v>
      </c>
      <c r="I40" s="2">
        <v>778.25</v>
      </c>
      <c r="J40" s="2">
        <v>6342.96</v>
      </c>
      <c r="K40" s="2">
        <v>5074.3680000000004</v>
      </c>
      <c r="L40" s="2">
        <v>5074.3680000000004</v>
      </c>
      <c r="M40" s="2">
        <v>6342.96</v>
      </c>
      <c r="N40" s="2">
        <v>5074.3680000000004</v>
      </c>
      <c r="O40" s="2">
        <v>5074.3680000000004</v>
      </c>
      <c r="P40" s="9"/>
      <c r="Q40" s="2">
        <f>SUM(OSRRefD21_1_3x)+IFERROR(SUM(OSRRefE21_1_3x),0)</f>
        <v>37255.782000000007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1351.21</v>
      </c>
      <c r="E41" s="2">
        <v>312.44</v>
      </c>
      <c r="F41" s="2">
        <v>818.12</v>
      </c>
      <c r="G41" s="2">
        <v>690.74</v>
      </c>
      <c r="H41" s="2">
        <v>261.14</v>
      </c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3433.65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3257.77</v>
      </c>
      <c r="E43" s="2">
        <v>3961.11</v>
      </c>
      <c r="F43" s="2">
        <v>3483.63</v>
      </c>
      <c r="G43" s="2">
        <v>3937.54</v>
      </c>
      <c r="H43" s="2">
        <v>4077.49</v>
      </c>
      <c r="I43" s="2">
        <v>6026.02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2378.61</v>
      </c>
      <c r="P43" s="9"/>
      <c r="Q43" s="2">
        <f>SUM(OSRRefD21_1_6x)+IFERROR(SUM(OSRRefE21_1_6x),0)</f>
        <v>27122.170000000002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>
        <v>293.75</v>
      </c>
      <c r="E44" s="2">
        <v>147.84</v>
      </c>
      <c r="F44" s="2"/>
      <c r="G44" s="2"/>
      <c r="H44" s="2">
        <v>240.45</v>
      </c>
      <c r="I44" s="2">
        <v>206.78</v>
      </c>
      <c r="J44" s="2">
        <v>2973.2624999999998</v>
      </c>
      <c r="K44" s="2">
        <v>2378.61</v>
      </c>
      <c r="L44" s="2">
        <v>2378.61</v>
      </c>
      <c r="M44" s="2">
        <v>2973.2624999999998</v>
      </c>
      <c r="N44" s="2">
        <v>2378.61</v>
      </c>
      <c r="O44" s="2">
        <v>0</v>
      </c>
      <c r="P44" s="9"/>
      <c r="Q44" s="2">
        <f>SUM(OSRRefD21_1_7x)+IFERROR(SUM(OSRRefE21_1_7x),0)</f>
        <v>13971.174999999999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195</v>
      </c>
      <c r="E47" s="1">
        <f>SUM(OSRRefD21_2x_1)</f>
        <v>195</v>
      </c>
      <c r="F47" s="1">
        <f>SUM(OSRRefD21_2x_2)</f>
        <v>0</v>
      </c>
      <c r="G47" s="1">
        <f>SUM(OSRRefD21_2x_3)</f>
        <v>420.32</v>
      </c>
      <c r="H47" s="1">
        <f>SUM(OSRRefD21_2x_4)</f>
        <v>314.02999999999997</v>
      </c>
      <c r="I47" s="1">
        <f>SUM(OSRRefD21_2x_5)</f>
        <v>0</v>
      </c>
      <c r="J47" s="1">
        <f>SUM(OSRRefE21_2x_0)</f>
        <v>50</v>
      </c>
      <c r="K47" s="1">
        <f>SUM(OSRRefE21_2x_1)</f>
        <v>50</v>
      </c>
      <c r="L47" s="1">
        <f>SUM(OSRRefE21_2x_2)</f>
        <v>50</v>
      </c>
      <c r="M47" s="1">
        <f>SUM(OSRRefE21_2x_3)</f>
        <v>50</v>
      </c>
      <c r="N47" s="1">
        <f>SUM(OSRRefE21_2x_4)</f>
        <v>50</v>
      </c>
      <c r="O47" s="1">
        <f>SUM(OSRRefE21_2x_5)</f>
        <v>50</v>
      </c>
      <c r="Q47" s="2">
        <f>SUM(OSRRefD20_2x)+IFERROR(SUM(OSRRefE20_2x),0)</f>
        <v>1424.35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195</v>
      </c>
      <c r="E48" s="2">
        <v>195</v>
      </c>
      <c r="F48" s="2"/>
      <c r="G48" s="2">
        <v>420.32</v>
      </c>
      <c r="H48" s="2">
        <v>314.02999999999997</v>
      </c>
      <c r="I48" s="2"/>
      <c r="J48" s="2">
        <v>50</v>
      </c>
      <c r="K48" s="2">
        <v>50</v>
      </c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SUM(OSRRefD21_2_0x)+IFERROR(SUM(OSRRefE21_2_0x),0)</f>
        <v>1424.35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0.6</v>
      </c>
      <c r="E49" s="1">
        <f>SUM(OSRRefD21_3x_1)</f>
        <v>7.0000000000000007E-2</v>
      </c>
      <c r="F49" s="1">
        <f>SUM(OSRRefD21_3x_2)</f>
        <v>1.03</v>
      </c>
      <c r="G49" s="1">
        <f>SUM(OSRRefD21_3x_3)</f>
        <v>-10.06</v>
      </c>
      <c r="H49" s="1">
        <f>SUM(OSRRefD21_3x_4)</f>
        <v>-0.66</v>
      </c>
      <c r="I49" s="1">
        <f>SUM(OSRRefD21_3x_5)</f>
        <v>-1.01</v>
      </c>
      <c r="J49" s="1">
        <f>SUM(OSRRefE21_3x_0)</f>
        <v>10</v>
      </c>
      <c r="K49" s="1">
        <f>SUM(OSRRefE21_3x_1)</f>
        <v>10</v>
      </c>
      <c r="L49" s="1">
        <f>SUM(OSRRefE21_3x_2)</f>
        <v>10</v>
      </c>
      <c r="M49" s="1">
        <f>SUM(OSRRefE21_3x_3)</f>
        <v>10</v>
      </c>
      <c r="N49" s="1">
        <f>SUM(OSRRefE21_3x_4)</f>
        <v>10</v>
      </c>
      <c r="O49" s="1">
        <f>SUM(OSRRefE21_3x_5)</f>
        <v>10</v>
      </c>
      <c r="Q49" s="2">
        <f>SUM(OSRRefD20_3x)+IFERROR(SUM(OSRRefE20_3x),0)</f>
        <v>49.97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>
        <v>0.6</v>
      </c>
      <c r="E50" s="2">
        <v>7.0000000000000007E-2</v>
      </c>
      <c r="F50" s="2">
        <v>1.03</v>
      </c>
      <c r="G50" s="2">
        <v>-10.06</v>
      </c>
      <c r="H50" s="2">
        <v>-0.66</v>
      </c>
      <c r="I50" s="2">
        <v>-1.01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SUM(OSRRefD21_3_0x)+IFERROR(SUM(OSRRefE21_3_0x),0)</f>
        <v>49.97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492.32</v>
      </c>
      <c r="E51" s="1">
        <f>SUM(OSRRefD21_4x_1)</f>
        <v>614.21</v>
      </c>
      <c r="F51" s="1">
        <f>SUM(OSRRefD21_4x_2)</f>
        <v>395.45</v>
      </c>
      <c r="G51" s="1">
        <f>SUM(OSRRefD21_4x_3)</f>
        <v>419.96</v>
      </c>
      <c r="H51" s="1">
        <f>SUM(OSRRefD21_4x_4)</f>
        <v>552.5</v>
      </c>
      <c r="I51" s="1">
        <f>SUM(OSRRefD21_4x_5)</f>
        <v>1000.14</v>
      </c>
      <c r="J51" s="1">
        <f>SUM(OSRRefE21_4x_0)</f>
        <v>417</v>
      </c>
      <c r="K51" s="1">
        <f>SUM(OSRRefE21_4x_1)</f>
        <v>457</v>
      </c>
      <c r="L51" s="1">
        <f>SUM(OSRRefE21_4x_2)</f>
        <v>534</v>
      </c>
      <c r="M51" s="1">
        <f>SUM(OSRRefE21_4x_3)</f>
        <v>1188</v>
      </c>
      <c r="N51" s="1">
        <f>SUM(OSRRefE21_4x_4)</f>
        <v>1229</v>
      </c>
      <c r="O51" s="1">
        <f>SUM(OSRRefE21_4x_5)</f>
        <v>1118</v>
      </c>
      <c r="Q51" s="2">
        <f>SUM(OSRRefD20_4x)+IFERROR(SUM(OSRRefE20_4x),0)</f>
        <v>8417.58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492.32</v>
      </c>
      <c r="E52" s="2">
        <v>614.21</v>
      </c>
      <c r="F52" s="2">
        <v>395.45</v>
      </c>
      <c r="G52" s="2">
        <v>419.96</v>
      </c>
      <c r="H52" s="2">
        <v>552.5</v>
      </c>
      <c r="I52" s="2">
        <v>1000.14</v>
      </c>
      <c r="J52" s="2">
        <v>417</v>
      </c>
      <c r="K52" s="2">
        <v>457</v>
      </c>
      <c r="L52" s="2">
        <v>534</v>
      </c>
      <c r="M52" s="2">
        <v>1188</v>
      </c>
      <c r="N52" s="2">
        <v>1229</v>
      </c>
      <c r="O52" s="2">
        <v>1118</v>
      </c>
      <c r="P52" s="9"/>
      <c r="Q52" s="2">
        <f>SUM(OSRRefD21_4_0x)+IFERROR(SUM(OSRRefE21_4_0x),0)</f>
        <v>8417.58</v>
      </c>
    </row>
    <row r="53" spans="1:17" s="35" customFormat="1" collapsed="1" x14ac:dyDescent="0.3">
      <c r="A53" s="34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SUM(OSRRefD21_5x_0)</f>
        <v>0</v>
      </c>
      <c r="E53" s="1">
        <f>SUM(OSRRefD21_5x_1)</f>
        <v>0</v>
      </c>
      <c r="F53" s="1">
        <f>SUM(OSRRefD21_5x_2)</f>
        <v>0</v>
      </c>
      <c r="G53" s="1">
        <f>SUM(OSRRefD21_5x_3)</f>
        <v>0</v>
      </c>
      <c r="H53" s="1">
        <f>SUM(OSRRefD21_5x_4)</f>
        <v>0</v>
      </c>
      <c r="I53" s="1">
        <f>SUM(OSRRefD21_5x_5)</f>
        <v>0</v>
      </c>
      <c r="J53" s="1">
        <f>SUM(OSRRefE21_5x_0)</f>
        <v>25</v>
      </c>
      <c r="K53" s="1">
        <f>SUM(OSRRefE21_5x_1)</f>
        <v>25</v>
      </c>
      <c r="L53" s="1">
        <f>SUM(OSRRefE21_5x_2)</f>
        <v>25</v>
      </c>
      <c r="M53" s="1">
        <f>SUM(OSRRefE21_5x_3)</f>
        <v>25</v>
      </c>
      <c r="N53" s="1">
        <f>SUM(OSRRefE21_5x_4)</f>
        <v>25</v>
      </c>
      <c r="O53" s="1">
        <f>SUM(OSRRefE21_5x_5)</f>
        <v>25</v>
      </c>
      <c r="Q53" s="2">
        <f>SUM(OSRRefD20_5x)+IFERROR(SUM(OSRRefE20_5x),0)</f>
        <v>150</v>
      </c>
    </row>
    <row r="54" spans="1:17" s="35" customFormat="1" hidden="1" outlineLevel="1" x14ac:dyDescent="0.3">
      <c r="A54" s="34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/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SUM(OSRRefD21_5_0x)+IFERROR(SUM(OSRRefE21_5_0x),0)</f>
        <v>150</v>
      </c>
    </row>
    <row r="55" spans="1:17" s="35" customFormat="1" collapsed="1" x14ac:dyDescent="0.3">
      <c r="A55" s="34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1135.0899999999999</v>
      </c>
      <c r="I55" s="1">
        <f>SUM(OSRRefD21_6x_5)</f>
        <v>160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0</v>
      </c>
      <c r="N55" s="1">
        <f>SUM(OSRRefE21_6x_4)</f>
        <v>0</v>
      </c>
      <c r="O55" s="1">
        <f>SUM(OSRRefE21_6x_5)</f>
        <v>0</v>
      </c>
      <c r="Q55" s="2">
        <f>SUM(OSRRefD20_6x)+IFERROR(SUM(OSRRefE20_6x),0)</f>
        <v>1295.0899999999999</v>
      </c>
    </row>
    <row r="56" spans="1:17" s="35" customFormat="1" hidden="1" outlineLevel="1" x14ac:dyDescent="0.3">
      <c r="A56" s="34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/>
      <c r="G56" s="2"/>
      <c r="H56" s="2">
        <v>1135.0899999999999</v>
      </c>
      <c r="I56" s="2">
        <v>160</v>
      </c>
      <c r="J56" s="2"/>
      <c r="K56" s="2"/>
      <c r="L56" s="2"/>
      <c r="M56" s="2"/>
      <c r="N56" s="2"/>
      <c r="O56" s="2"/>
      <c r="P56" s="9"/>
      <c r="Q56" s="2">
        <f>SUM(OSRRefD21_6_0x)+IFERROR(SUM(OSRRefE21_6_0x),0)</f>
        <v>1295.0899999999999</v>
      </c>
    </row>
    <row r="57" spans="1:17" s="35" customFormat="1" collapsed="1" x14ac:dyDescent="0.3">
      <c r="A57" s="34"/>
      <c r="B57" s="14" t="str">
        <f>CONCATENATE("     ","Insurance                                         ")</f>
        <v xml:space="preserve">     Insurance                                         </v>
      </c>
      <c r="C57" s="14"/>
      <c r="D57" s="1">
        <f>SUM(OSRRefD21_7x_0)</f>
        <v>219.08</v>
      </c>
      <c r="E57" s="1">
        <f>SUM(OSRRefD21_7x_1)</f>
        <v>219.08</v>
      </c>
      <c r="F57" s="1">
        <f>SUM(OSRRefD21_7x_2)</f>
        <v>219.08</v>
      </c>
      <c r="G57" s="1">
        <f>SUM(OSRRefD21_7x_3)</f>
        <v>219.08</v>
      </c>
      <c r="H57" s="1">
        <f>SUM(OSRRefD21_7x_4)</f>
        <v>219.08</v>
      </c>
      <c r="I57" s="1">
        <f>SUM(OSRRefD21_7x_5)</f>
        <v>219.08</v>
      </c>
      <c r="J57" s="1">
        <f>SUM(OSRRefE21_7x_0)</f>
        <v>175</v>
      </c>
      <c r="K57" s="1">
        <f>SUM(OSRRefE21_7x_1)</f>
        <v>175</v>
      </c>
      <c r="L57" s="1">
        <f>SUM(OSRRefE21_7x_2)</f>
        <v>175</v>
      </c>
      <c r="M57" s="1">
        <f>SUM(OSRRefE21_7x_3)</f>
        <v>175</v>
      </c>
      <c r="N57" s="1">
        <f>SUM(OSRRefE21_7x_4)</f>
        <v>175</v>
      </c>
      <c r="O57" s="1">
        <f>SUM(OSRRefE21_7x_5)</f>
        <v>175</v>
      </c>
      <c r="Q57" s="2">
        <f>SUM(OSRRefD20_7x)+IFERROR(SUM(OSRRefE20_7x),0)</f>
        <v>2364.48</v>
      </c>
    </row>
    <row r="58" spans="1:17" s="35" customFormat="1" hidden="1" outlineLevel="1" x14ac:dyDescent="0.3">
      <c r="A58" s="34"/>
      <c r="B58" s="10" t="str">
        <f>CONCATENATE("          ","6314", " - ","LIABILITY INSURANCE")</f>
        <v xml:space="preserve">          6314 - LIABILITY INSURANCE</v>
      </c>
      <c r="C58" s="14"/>
      <c r="D58" s="2">
        <v>219.08</v>
      </c>
      <c r="E58" s="2">
        <v>219.08</v>
      </c>
      <c r="F58" s="2">
        <v>219.08</v>
      </c>
      <c r="G58" s="2">
        <v>219.08</v>
      </c>
      <c r="H58" s="2">
        <v>219.08</v>
      </c>
      <c r="I58" s="2">
        <v>219.08</v>
      </c>
      <c r="J58" s="2">
        <v>175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SUM(OSRRefD21_7_0x)+IFERROR(SUM(OSRRefE21_7_0x),0)</f>
        <v>2364.48</v>
      </c>
    </row>
    <row r="59" spans="1:17" s="35" customFormat="1" collapsed="1" x14ac:dyDescent="0.3">
      <c r="A59" s="34"/>
      <c r="B59" s="14" t="str">
        <f>CONCATENATE("     ","Inventory Adjustment                              ")</f>
        <v xml:space="preserve">     Inventory Adjustment                              </v>
      </c>
      <c r="C59" s="14"/>
      <c r="D59" s="1">
        <f>SUM(OSRRefD21_8x_0)</f>
        <v>100</v>
      </c>
      <c r="E59" s="1">
        <f>SUM(OSRRefD21_8x_1)</f>
        <v>100</v>
      </c>
      <c r="F59" s="1">
        <f>SUM(OSRRefD21_8x_2)</f>
        <v>100</v>
      </c>
      <c r="G59" s="1">
        <f>SUM(OSRRefD21_8x_3)</f>
        <v>100</v>
      </c>
      <c r="H59" s="1">
        <f>SUM(OSRRefD21_8x_4)</f>
        <v>100</v>
      </c>
      <c r="I59" s="1">
        <f>SUM(OSRRefD21_8x_5)</f>
        <v>100</v>
      </c>
      <c r="J59" s="1">
        <f>SUM(OSRRefE21_8x_0)</f>
        <v>100</v>
      </c>
      <c r="K59" s="1">
        <f>SUM(OSRRefE21_8x_1)</f>
        <v>100</v>
      </c>
      <c r="L59" s="1">
        <f>SUM(OSRRefE21_8x_2)</f>
        <v>100</v>
      </c>
      <c r="M59" s="1">
        <f>SUM(OSRRefE21_8x_3)</f>
        <v>100</v>
      </c>
      <c r="N59" s="1">
        <f>SUM(OSRRefE21_8x_4)</f>
        <v>100</v>
      </c>
      <c r="O59" s="1">
        <f>SUM(OSRRefE21_8x_5)</f>
        <v>100</v>
      </c>
      <c r="Q59" s="2">
        <f>SUM(OSRRefD20_8x)+IFERROR(SUM(OSRRefE20_8x),0)</f>
        <v>1200</v>
      </c>
    </row>
    <row r="60" spans="1:17" s="35" customFormat="1" hidden="1" outlineLevel="1" x14ac:dyDescent="0.3">
      <c r="A60" s="34"/>
      <c r="B60" s="10" t="str">
        <f>CONCATENATE("          ","6408", " - ","INVENTORY ADJUSTMENT")</f>
        <v xml:space="preserve">          6408 - INVENTORY ADJUSTMENT</v>
      </c>
      <c r="C60" s="14"/>
      <c r="D60" s="2">
        <v>100</v>
      </c>
      <c r="E60" s="2">
        <v>100</v>
      </c>
      <c r="F60" s="2">
        <v>100</v>
      </c>
      <c r="G60" s="2">
        <v>100</v>
      </c>
      <c r="H60" s="2">
        <v>100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SUM(OSRRefD21_8_0x)+IFERROR(SUM(OSRRefE21_8_0x),0)</f>
        <v>1200</v>
      </c>
    </row>
    <row r="61" spans="1:17" s="35" customFormat="1" collapsed="1" x14ac:dyDescent="0.3">
      <c r="A61" s="34"/>
      <c r="B61" s="14" t="str">
        <f>CONCATENATE("     ","Professional Services                             ")</f>
        <v xml:space="preserve">     Professional Services                             </v>
      </c>
      <c r="C61" s="14"/>
      <c r="D61" s="1">
        <f>SUM(OSRRefD21_9x_0)</f>
        <v>0</v>
      </c>
      <c r="E61" s="1">
        <f>SUM(OSRRefD21_9x_1)</f>
        <v>0</v>
      </c>
      <c r="F61" s="1">
        <f>SUM(OSRRefD21_9x_2)</f>
        <v>0</v>
      </c>
      <c r="G61" s="1">
        <f>SUM(OSRRefD21_9x_3)</f>
        <v>161.46</v>
      </c>
      <c r="H61" s="1">
        <f>SUM(OSRRefD21_9x_4)</f>
        <v>0</v>
      </c>
      <c r="I61" s="1">
        <f>SUM(OSRRefD21_9x_5)</f>
        <v>0</v>
      </c>
      <c r="J61" s="1">
        <f>SUM(OSRRefE21_9x_0)</f>
        <v>0</v>
      </c>
      <c r="K61" s="1">
        <f>SUM(OSRRefE21_9x_1)</f>
        <v>0</v>
      </c>
      <c r="L61" s="1">
        <f>SUM(OSRRefE21_9x_2)</f>
        <v>0</v>
      </c>
      <c r="M61" s="1">
        <f>SUM(OSRRefE21_9x_3)</f>
        <v>0</v>
      </c>
      <c r="N61" s="1">
        <f>SUM(OSRRefE21_9x_4)</f>
        <v>0</v>
      </c>
      <c r="O61" s="1">
        <f>SUM(OSRRefE21_9x_5)</f>
        <v>0</v>
      </c>
      <c r="Q61" s="2">
        <f>SUM(OSRRefD20_9x)+IFERROR(SUM(OSRRefE20_9x),0)</f>
        <v>161.46</v>
      </c>
    </row>
    <row r="62" spans="1:17" s="35" customFormat="1" hidden="1" outlineLevel="1" x14ac:dyDescent="0.3">
      <c r="A62" s="34"/>
      <c r="B62" s="10" t="str">
        <f>CONCATENATE("          ","6336", " - ","PROFESSIONAL SERVICES")</f>
        <v xml:space="preserve">          6336 - PROFESSIONAL SERVICES</v>
      </c>
      <c r="C62" s="14"/>
      <c r="D62" s="2"/>
      <c r="E62" s="2"/>
      <c r="F62" s="2"/>
      <c r="G62" s="2">
        <v>161.46</v>
      </c>
      <c r="H62" s="2"/>
      <c r="I62" s="2"/>
      <c r="J62" s="2"/>
      <c r="K62" s="2"/>
      <c r="L62" s="2"/>
      <c r="M62" s="2"/>
      <c r="N62" s="2"/>
      <c r="O62" s="2"/>
      <c r="P62" s="9"/>
      <c r="Q62" s="2">
        <f>SUM(OSRRefD21_9_0x)+IFERROR(SUM(OSRRefE21_9_0x),0)</f>
        <v>161.46</v>
      </c>
    </row>
    <row r="63" spans="1:17" s="35" customFormat="1" collapsed="1" x14ac:dyDescent="0.3">
      <c r="A63" s="34"/>
      <c r="B63" s="14" t="str">
        <f>CONCATENATE("     ","Rent                                              ")</f>
        <v xml:space="preserve">     Rent                                              </v>
      </c>
      <c r="C63" s="14"/>
      <c r="D63" s="1">
        <f>SUM(OSRRefD21_10x_0)</f>
        <v>6900</v>
      </c>
      <c r="E63" s="1">
        <f>SUM(OSRRefD21_10x_1)</f>
        <v>6900</v>
      </c>
      <c r="F63" s="1">
        <f>SUM(OSRRefD21_10x_2)</f>
        <v>6900</v>
      </c>
      <c r="G63" s="1">
        <f>SUM(OSRRefD21_10x_3)</f>
        <v>6900</v>
      </c>
      <c r="H63" s="1">
        <f>SUM(OSRRefD21_10x_4)</f>
        <v>6900</v>
      </c>
      <c r="I63" s="1">
        <f>SUM(OSRRefD21_10x_5)</f>
        <v>6900</v>
      </c>
      <c r="J63" s="1">
        <f>SUM(OSRRefE21_10x_0)</f>
        <v>6900</v>
      </c>
      <c r="K63" s="1">
        <f>SUM(OSRRefE21_10x_1)</f>
        <v>6900</v>
      </c>
      <c r="L63" s="1">
        <f>SUM(OSRRefE21_10x_2)</f>
        <v>6900</v>
      </c>
      <c r="M63" s="1">
        <f>SUM(OSRRefE21_10x_3)</f>
        <v>6900</v>
      </c>
      <c r="N63" s="1">
        <f>SUM(OSRRefE21_10x_4)</f>
        <v>6900</v>
      </c>
      <c r="O63" s="1">
        <f>SUM(OSRRefE21_10x_5)</f>
        <v>6900</v>
      </c>
      <c r="Q63" s="2">
        <f>SUM(OSRRefD20_10x)+IFERROR(SUM(OSRRefE20_10x),0)</f>
        <v>82800</v>
      </c>
    </row>
    <row r="64" spans="1:17" s="35" customFormat="1" hidden="1" outlineLevel="1" x14ac:dyDescent="0.3">
      <c r="A64" s="34"/>
      <c r="B64" s="10" t="str">
        <f>CONCATENATE("          ","6273", " - ","RENT")</f>
        <v xml:space="preserve">          6273 - RENT</v>
      </c>
      <c r="C64" s="14"/>
      <c r="D64" s="2">
        <v>6900</v>
      </c>
      <c r="E64" s="2">
        <v>6900</v>
      </c>
      <c r="F64" s="2">
        <v>6900</v>
      </c>
      <c r="G64" s="2">
        <v>6900</v>
      </c>
      <c r="H64" s="2">
        <v>6900</v>
      </c>
      <c r="I64" s="2">
        <v>6900</v>
      </c>
      <c r="J64" s="2">
        <v>6900</v>
      </c>
      <c r="K64" s="2">
        <v>6900</v>
      </c>
      <c r="L64" s="2">
        <v>6900</v>
      </c>
      <c r="M64" s="2">
        <v>6900</v>
      </c>
      <c r="N64" s="2">
        <v>6900</v>
      </c>
      <c r="O64" s="2">
        <v>6900</v>
      </c>
      <c r="P64" s="9"/>
      <c r="Q64" s="2">
        <f>SUM(OSRRefD21_10_0x)+IFERROR(SUM(OSRRefE21_10_0x),0)</f>
        <v>82800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772.82</v>
      </c>
      <c r="F65" s="1">
        <f>SUM(OSRRefD21_11x_2)</f>
        <v>230.9</v>
      </c>
      <c r="G65" s="1">
        <f>SUM(OSRRefD21_11x_3)</f>
        <v>0</v>
      </c>
      <c r="H65" s="1">
        <f>SUM(OSRRefD21_11x_4)</f>
        <v>0</v>
      </c>
      <c r="I65" s="1">
        <f>SUM(OSRRefD21_11x_5)</f>
        <v>282.92</v>
      </c>
      <c r="J65" s="1">
        <f>SUM(OSRRefE21_11x_0)</f>
        <v>615</v>
      </c>
      <c r="K65" s="1">
        <f>SUM(OSRRefE21_11x_1)</f>
        <v>115</v>
      </c>
      <c r="L65" s="1">
        <f>SUM(OSRRefE21_11x_2)</f>
        <v>115</v>
      </c>
      <c r="M65" s="1">
        <f>SUM(OSRRefE21_11x_3)</f>
        <v>115</v>
      </c>
      <c r="N65" s="1">
        <f>SUM(OSRRefE21_11x_4)</f>
        <v>115</v>
      </c>
      <c r="O65" s="1">
        <f>SUM(OSRRefE21_11x_5)</f>
        <v>115</v>
      </c>
      <c r="Q65" s="2">
        <f>SUM(OSRRefD20_11x)+IFERROR(SUM(OSRRefE20_11x),0)</f>
        <v>2476.6400000000003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230.9</v>
      </c>
      <c r="G66" s="2"/>
      <c r="H66" s="2"/>
      <c r="I66" s="2">
        <v>232.93</v>
      </c>
      <c r="J66" s="2">
        <v>115</v>
      </c>
      <c r="K66" s="2">
        <v>115</v>
      </c>
      <c r="L66" s="2">
        <v>115</v>
      </c>
      <c r="M66" s="2">
        <v>115</v>
      </c>
      <c r="N66" s="2">
        <v>115</v>
      </c>
      <c r="O66" s="2">
        <v>115</v>
      </c>
      <c r="P66" s="9"/>
      <c r="Q66" s="2">
        <f>SUM(OSRRefD21_11_0x)+IFERROR(SUM(OSRRefE21_11_0x),0)</f>
        <v>1153.83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772.82</v>
      </c>
      <c r="F67" s="2"/>
      <c r="G67" s="2"/>
      <c r="H67" s="2"/>
      <c r="I67" s="2">
        <v>49.99</v>
      </c>
      <c r="J67" s="2">
        <v>500</v>
      </c>
      <c r="K67" s="2"/>
      <c r="L67" s="2"/>
      <c r="M67" s="2"/>
      <c r="N67" s="2"/>
      <c r="O67" s="2"/>
      <c r="P67" s="9"/>
      <c r="Q67" s="2">
        <f>SUM(OSRRefD21_11_1x)+IFERROR(SUM(OSRRefE21_11_1x),0)</f>
        <v>1322.81</v>
      </c>
    </row>
    <row r="68" spans="1:17" s="35" customFormat="1" collapsed="1" x14ac:dyDescent="0.3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155.59</v>
      </c>
      <c r="E68" s="1">
        <f>SUM(OSRRefD21_12x_1)</f>
        <v>162.72</v>
      </c>
      <c r="F68" s="1">
        <f>SUM(OSRRefD21_12x_2)</f>
        <v>162.72</v>
      </c>
      <c r="G68" s="1">
        <f>SUM(OSRRefD21_12x_3)</f>
        <v>162.72</v>
      </c>
      <c r="H68" s="1">
        <f>SUM(OSRRefD21_12x_4)</f>
        <v>162.72</v>
      </c>
      <c r="I68" s="1">
        <f>SUM(OSRRefD21_12x_5)</f>
        <v>223.45</v>
      </c>
      <c r="J68" s="1">
        <f>SUM(OSRRefE21_12x_0)</f>
        <v>60</v>
      </c>
      <c r="K68" s="1">
        <f>SUM(OSRRefE21_12x_1)</f>
        <v>60</v>
      </c>
      <c r="L68" s="1">
        <f>SUM(OSRRefE21_12x_2)</f>
        <v>120</v>
      </c>
      <c r="M68" s="1">
        <f>SUM(OSRRefE21_12x_3)</f>
        <v>60</v>
      </c>
      <c r="N68" s="1">
        <f>SUM(OSRRefE21_12x_4)</f>
        <v>60</v>
      </c>
      <c r="O68" s="1">
        <f>SUM(OSRRefE21_12x_5)</f>
        <v>120</v>
      </c>
      <c r="Q68" s="2">
        <f>SUM(OSRRefD20_12x)+IFERROR(SUM(OSRRefE20_12x),0)</f>
        <v>1509.92</v>
      </c>
    </row>
    <row r="69" spans="1:17" s="35" customFormat="1" hidden="1" outlineLevel="1" x14ac:dyDescent="0.3">
      <c r="A69" s="34"/>
      <c r="B69" s="10" t="str">
        <f>CONCATENATE("          ","6284", " - ","TRASH REMOVAL EXPENSE")</f>
        <v xml:space="preserve">          6284 - TRASH REMOVAL EXPENSE</v>
      </c>
      <c r="C69" s="14"/>
      <c r="D69" s="2">
        <v>142.57</v>
      </c>
      <c r="E69" s="2">
        <v>149.69999999999999</v>
      </c>
      <c r="F69" s="2">
        <v>149.69999999999999</v>
      </c>
      <c r="G69" s="2">
        <v>149.69999999999999</v>
      </c>
      <c r="H69" s="2">
        <v>149.69999999999999</v>
      </c>
      <c r="I69" s="2">
        <v>149.69999999999999</v>
      </c>
      <c r="J69" s="2">
        <v>60</v>
      </c>
      <c r="K69" s="2">
        <v>60</v>
      </c>
      <c r="L69" s="2">
        <v>120</v>
      </c>
      <c r="M69" s="2">
        <v>60</v>
      </c>
      <c r="N69" s="2">
        <v>60</v>
      </c>
      <c r="O69" s="2">
        <v>120</v>
      </c>
      <c r="P69" s="9"/>
      <c r="Q69" s="2">
        <f>SUM(OSRRefD21_12_0x)+IFERROR(SUM(OSRRefE21_12_0x),0)</f>
        <v>1371.07</v>
      </c>
    </row>
    <row r="70" spans="1:17" s="35" customFormat="1" hidden="1" outlineLevel="1" x14ac:dyDescent="0.3">
      <c r="A70" s="34"/>
      <c r="B70" s="10" t="str">
        <f>CONCATENATE("          ","6285", " - ","JANITORIAL SERVICES")</f>
        <v xml:space="preserve">          6285 - JANITORIAL SERVICES</v>
      </c>
      <c r="C70" s="14"/>
      <c r="D70" s="2">
        <v>13.02</v>
      </c>
      <c r="E70" s="2">
        <v>13.02</v>
      </c>
      <c r="F70" s="2">
        <v>13.02</v>
      </c>
      <c r="G70" s="2">
        <v>13.02</v>
      </c>
      <c r="H70" s="2">
        <v>13.02</v>
      </c>
      <c r="I70" s="2">
        <v>73.75</v>
      </c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138.85</v>
      </c>
    </row>
    <row r="71" spans="1:17" s="35" customFormat="1" collapsed="1" x14ac:dyDescent="0.3">
      <c r="A71" s="34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SUM(OSRRefD21_13x_0)</f>
        <v>0</v>
      </c>
      <c r="E71" s="1">
        <f>SUM(OSRRefD21_13x_1)</f>
        <v>0</v>
      </c>
      <c r="F71" s="1">
        <f>SUM(OSRRefD21_13x_2)</f>
        <v>0</v>
      </c>
      <c r="G71" s="1">
        <f>SUM(OSRRefD21_13x_3)</f>
        <v>0</v>
      </c>
      <c r="H71" s="1">
        <f>SUM(OSRRefD21_13x_4)</f>
        <v>0</v>
      </c>
      <c r="I71" s="1">
        <f>SUM(OSRRefD21_13x_5)</f>
        <v>0</v>
      </c>
      <c r="J71" s="1">
        <f>SUM(OSRRefE21_13x_0)</f>
        <v>81</v>
      </c>
      <c r="K71" s="1">
        <f>SUM(OSRRefE21_13x_1)</f>
        <v>61</v>
      </c>
      <c r="L71" s="1">
        <f>SUM(OSRRefE21_13x_2)</f>
        <v>81</v>
      </c>
      <c r="M71" s="1">
        <f>SUM(OSRRefE21_13x_3)</f>
        <v>61</v>
      </c>
      <c r="N71" s="1">
        <f>SUM(OSRRefE21_13x_4)</f>
        <v>81</v>
      </c>
      <c r="O71" s="1">
        <f>SUM(OSRRefE21_13x_5)</f>
        <v>261</v>
      </c>
      <c r="Q71" s="2">
        <f>SUM(OSRRefD20_13x)+IFERROR(SUM(OSRRefE20_13x),0)</f>
        <v>626</v>
      </c>
    </row>
    <row r="72" spans="1:17" s="35" customFormat="1" hidden="1" outlineLevel="1" x14ac:dyDescent="0.3">
      <c r="A72" s="34"/>
      <c r="B72" s="10" t="str">
        <f>CONCATENATE("          ","6258", " - ","MEMBERSHIP DUES")</f>
        <v xml:space="preserve">          6258 - MEMBERSHIP DUES</v>
      </c>
      <c r="C72" s="1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200</v>
      </c>
      <c r="P72" s="9"/>
      <c r="Q72" s="2">
        <f>SUM(OSRRefD21_13_0x)+IFERROR(SUM(OSRRefE21_13_0x),0)</f>
        <v>200</v>
      </c>
    </row>
    <row r="73" spans="1:17" s="35" customFormat="1" hidden="1" outlineLevel="1" x14ac:dyDescent="0.3">
      <c r="A73" s="34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81</v>
      </c>
      <c r="K73" s="2">
        <v>61</v>
      </c>
      <c r="L73" s="2">
        <v>81</v>
      </c>
      <c r="M73" s="2">
        <v>61</v>
      </c>
      <c r="N73" s="2">
        <v>81</v>
      </c>
      <c r="O73" s="2">
        <v>61</v>
      </c>
      <c r="P73" s="9"/>
      <c r="Q73" s="2">
        <f>SUM(OSRRefD21_13_1x)+IFERROR(SUM(OSRRefE21_13_1x),0)</f>
        <v>426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421.90999999999997</v>
      </c>
      <c r="E74" s="1">
        <f>SUM(OSRRefD21_14x_1)</f>
        <v>115.64</v>
      </c>
      <c r="F74" s="1">
        <f>SUM(OSRRefD21_14x_2)</f>
        <v>51.18</v>
      </c>
      <c r="G74" s="1">
        <f>SUM(OSRRefD21_14x_3)</f>
        <v>0</v>
      </c>
      <c r="H74" s="1">
        <f>SUM(OSRRefD21_14x_4)</f>
        <v>-2.2999999999999998</v>
      </c>
      <c r="I74" s="1">
        <f>SUM(OSRRefD21_14x_5)</f>
        <v>420.29999999999995</v>
      </c>
      <c r="J74" s="1">
        <f>SUM(OSRRefE21_14x_0)</f>
        <v>30</v>
      </c>
      <c r="K74" s="1">
        <f>SUM(OSRRefE21_14x_1)</f>
        <v>30</v>
      </c>
      <c r="L74" s="1">
        <f>SUM(OSRRefE21_14x_2)</f>
        <v>30</v>
      </c>
      <c r="M74" s="1">
        <f>SUM(OSRRefE21_14x_3)</f>
        <v>30</v>
      </c>
      <c r="N74" s="1">
        <f>SUM(OSRRefE21_14x_4)</f>
        <v>70</v>
      </c>
      <c r="O74" s="1">
        <f>SUM(OSRRefE21_14x_5)</f>
        <v>30</v>
      </c>
      <c r="Q74" s="2">
        <f>SUM(OSRRefD20_14x)+IFERROR(SUM(OSRRefE20_14x),0)</f>
        <v>1226.73</v>
      </c>
    </row>
    <row r="75" spans="1:17" s="35" customFormat="1" hidden="1" outlineLevel="1" x14ac:dyDescent="0.3">
      <c r="A75" s="34"/>
      <c r="B75" s="10" t="str">
        <f>CONCATENATE("          ","6237", " - ","JANITORIAL SUPPLIES")</f>
        <v xml:space="preserve">          6237 - JANITORIAL SUPPLIES</v>
      </c>
      <c r="C75" s="14"/>
      <c r="D75" s="2"/>
      <c r="E75" s="2">
        <v>77.17</v>
      </c>
      <c r="F75" s="2"/>
      <c r="G75" s="2"/>
      <c r="H75" s="2"/>
      <c r="I75" s="2"/>
      <c r="J75" s="2">
        <v>10</v>
      </c>
      <c r="K75" s="2">
        <v>10</v>
      </c>
      <c r="L75" s="2">
        <v>10</v>
      </c>
      <c r="M75" s="2">
        <v>10</v>
      </c>
      <c r="N75" s="2">
        <v>50</v>
      </c>
      <c r="O75" s="2">
        <v>10</v>
      </c>
      <c r="P75" s="9"/>
      <c r="Q75" s="2">
        <f>SUM(OSRRefD21_14_0x)+IFERROR(SUM(OSRRefE21_14_0x),0)</f>
        <v>177.17000000000002</v>
      </c>
    </row>
    <row r="76" spans="1:17" s="35" customFormat="1" hidden="1" outlineLevel="1" x14ac:dyDescent="0.3">
      <c r="A76" s="34"/>
      <c r="B76" s="10" t="str">
        <f>CONCATENATE("          ","6241", " - ","OFFICE EXPENSE")</f>
        <v xml:space="preserve">          6241 - OFFICE EXPENSE</v>
      </c>
      <c r="C76" s="14"/>
      <c r="D76" s="2">
        <v>6.59</v>
      </c>
      <c r="E76" s="2">
        <v>38.47</v>
      </c>
      <c r="F76" s="2">
        <v>51.18</v>
      </c>
      <c r="G76" s="2"/>
      <c r="H76" s="2"/>
      <c r="I76" s="2">
        <v>233.82</v>
      </c>
      <c r="J76" s="2">
        <v>20</v>
      </c>
      <c r="K76" s="2">
        <v>20</v>
      </c>
      <c r="L76" s="2">
        <v>20</v>
      </c>
      <c r="M76" s="2">
        <v>20</v>
      </c>
      <c r="N76" s="2">
        <v>20</v>
      </c>
      <c r="O76" s="2">
        <v>20</v>
      </c>
      <c r="P76" s="9"/>
      <c r="Q76" s="2">
        <f>SUM(OSRRefD21_14_1x)+IFERROR(SUM(OSRRefE21_14_1x),0)</f>
        <v>450.06</v>
      </c>
    </row>
    <row r="77" spans="1:17" s="35" customFormat="1" hidden="1" outlineLevel="1" x14ac:dyDescent="0.3">
      <c r="A77" s="34"/>
      <c r="B77" s="10" t="str">
        <f>CONCATENATE("          ","6247", " - ","STORE SUPPLIES")</f>
        <v xml:space="preserve">          6247 - STORE SUPPLIES</v>
      </c>
      <c r="C77" s="14"/>
      <c r="D77" s="2">
        <v>415.32</v>
      </c>
      <c r="E77" s="2"/>
      <c r="F77" s="2"/>
      <c r="G77" s="2"/>
      <c r="H77" s="2">
        <v>-2.2999999999999998</v>
      </c>
      <c r="I77" s="2">
        <v>186.48</v>
      </c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599.5</v>
      </c>
    </row>
    <row r="78" spans="1:17" s="35" customFormat="1" collapsed="1" x14ac:dyDescent="0.3">
      <c r="A78" s="34"/>
      <c r="B78" s="14" t="str">
        <f>CONCATENATE("     ","Telephone/Data Lines                              ")</f>
        <v xml:space="preserve">     Telephone/Data Lines                              </v>
      </c>
      <c r="C78" s="14"/>
      <c r="D78" s="1">
        <f>SUM(OSRRefD21_15x_0)</f>
        <v>392.84</v>
      </c>
      <c r="E78" s="1">
        <f>SUM(OSRRefD21_15x_1)</f>
        <v>297.83999999999997</v>
      </c>
      <c r="F78" s="1">
        <f>SUM(OSRRefD21_15x_2)</f>
        <v>47.84</v>
      </c>
      <c r="G78" s="1">
        <f>SUM(OSRRefD21_15x_3)</f>
        <v>547.84</v>
      </c>
      <c r="H78" s="1">
        <f>SUM(OSRRefD21_15x_4)</f>
        <v>297.83999999999997</v>
      </c>
      <c r="I78" s="1">
        <f>SUM(OSRRefD21_15x_5)</f>
        <v>297.83999999999997</v>
      </c>
      <c r="J78" s="1">
        <f>SUM(OSRRefE21_15x_0)</f>
        <v>250</v>
      </c>
      <c r="K78" s="1">
        <f>SUM(OSRRefE21_15x_1)</f>
        <v>250</v>
      </c>
      <c r="L78" s="1">
        <f>SUM(OSRRefE21_15x_2)</f>
        <v>250</v>
      </c>
      <c r="M78" s="1">
        <f>SUM(OSRRefE21_15x_3)</f>
        <v>250</v>
      </c>
      <c r="N78" s="1">
        <f>SUM(OSRRefE21_15x_4)</f>
        <v>250</v>
      </c>
      <c r="O78" s="1">
        <f>SUM(OSRRefE21_15x_5)</f>
        <v>250</v>
      </c>
      <c r="Q78" s="2">
        <f>SUM(OSRRefD20_15x)+IFERROR(SUM(OSRRefE20_15x),0)</f>
        <v>3382.04</v>
      </c>
    </row>
    <row r="79" spans="1:17" s="35" customFormat="1" hidden="1" outlineLevel="1" x14ac:dyDescent="0.3">
      <c r="A79" s="34"/>
      <c r="B79" s="10" t="str">
        <f>CONCATENATE("          ","6309", " - ","TELEPHONE")</f>
        <v xml:space="preserve">          6309 - TELEPHONE</v>
      </c>
      <c r="C79" s="14"/>
      <c r="D79" s="2">
        <v>392.84</v>
      </c>
      <c r="E79" s="2">
        <v>297.83999999999997</v>
      </c>
      <c r="F79" s="2">
        <v>47.84</v>
      </c>
      <c r="G79" s="2">
        <v>547.84</v>
      </c>
      <c r="H79" s="2">
        <v>297.83999999999997</v>
      </c>
      <c r="I79" s="2">
        <v>297.83999999999997</v>
      </c>
      <c r="J79" s="2">
        <v>250</v>
      </c>
      <c r="K79" s="2">
        <v>250</v>
      </c>
      <c r="L79" s="2">
        <v>250</v>
      </c>
      <c r="M79" s="2">
        <v>250</v>
      </c>
      <c r="N79" s="2">
        <v>250</v>
      </c>
      <c r="O79" s="2">
        <v>250</v>
      </c>
      <c r="P79" s="9"/>
      <c r="Q79" s="2">
        <f>SUM(OSRRefD21_15_0x)+IFERROR(SUM(OSRRefE21_15_0x),0)</f>
        <v>3382.04</v>
      </c>
    </row>
    <row r="80" spans="1:17" s="35" customFormat="1" collapsed="1" x14ac:dyDescent="0.3">
      <c r="A80" s="34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SUM(OSRRefD21_16x_0)</f>
        <v>147.82</v>
      </c>
      <c r="E80" s="1">
        <f>SUM(OSRRefD21_16x_1)</f>
        <v>0</v>
      </c>
      <c r="F80" s="1">
        <f>SUM(OSRRefD21_16x_2)</f>
        <v>27.39</v>
      </c>
      <c r="G80" s="1">
        <f>SUM(OSRRefD21_16x_3)</f>
        <v>0</v>
      </c>
      <c r="H80" s="1">
        <f>SUM(OSRRefD21_16x_4)</f>
        <v>0</v>
      </c>
      <c r="I80" s="1">
        <f>SUM(OSRRefD21_16x_5)</f>
        <v>24.4</v>
      </c>
      <c r="J80" s="1">
        <f>SUM(OSRRefE21_16x_0)</f>
        <v>25</v>
      </c>
      <c r="K80" s="1">
        <f>SUM(OSRRefE21_16x_1)</f>
        <v>25</v>
      </c>
      <c r="L80" s="1">
        <f>SUM(OSRRefE21_16x_2)</f>
        <v>25</v>
      </c>
      <c r="M80" s="1">
        <f>SUM(OSRRefE21_16x_3)</f>
        <v>25</v>
      </c>
      <c r="N80" s="1">
        <f>SUM(OSRRefE21_16x_4)</f>
        <v>25</v>
      </c>
      <c r="O80" s="1">
        <f>SUM(OSRRefE21_16x_5)</f>
        <v>25</v>
      </c>
      <c r="Q80" s="2">
        <f>SUM(OSRRefD20_16x)+IFERROR(SUM(OSRRefE20_16x),0)</f>
        <v>349.61</v>
      </c>
    </row>
    <row r="81" spans="1:17" s="35" customFormat="1" hidden="1" outlineLevel="1" x14ac:dyDescent="0.3">
      <c r="A81" s="34"/>
      <c r="B81" s="10" t="str">
        <f>CONCATENATE("          ","6294", " - ","TRAVEL OPERATIONAL")</f>
        <v xml:space="preserve">          6294 - TRAVEL OPERATIONAL</v>
      </c>
      <c r="C81" s="14"/>
      <c r="D81" s="2">
        <v>147.82</v>
      </c>
      <c r="E81" s="2"/>
      <c r="F81" s="2">
        <v>27.39</v>
      </c>
      <c r="G81" s="2"/>
      <c r="H81" s="2"/>
      <c r="I81" s="2">
        <v>24.4</v>
      </c>
      <c r="J81" s="2"/>
      <c r="K81" s="2"/>
      <c r="L81" s="2"/>
      <c r="M81" s="2"/>
      <c r="N81" s="2"/>
      <c r="O81" s="2"/>
      <c r="P81" s="9"/>
      <c r="Q81" s="2">
        <f>SUM(OSRRefD21_16_0x)+IFERROR(SUM(OSRRefE21_16_0x),0)</f>
        <v>199.60999999999999</v>
      </c>
    </row>
    <row r="82" spans="1:17" s="35" customFormat="1" hidden="1" outlineLevel="1" x14ac:dyDescent="0.3">
      <c r="A82" s="34"/>
      <c r="B82" s="10" t="str">
        <f>CONCATENATE("          ","6298", " - ","VEHICLE MILEAGE")</f>
        <v xml:space="preserve">          6298 - VEHICLE MILEAGE</v>
      </c>
      <c r="C82" s="14"/>
      <c r="D82" s="2"/>
      <c r="E82" s="2"/>
      <c r="F82" s="2"/>
      <c r="G82" s="2"/>
      <c r="H82" s="2"/>
      <c r="I82" s="2"/>
      <c r="J82" s="2">
        <v>25</v>
      </c>
      <c r="K82" s="2">
        <v>25</v>
      </c>
      <c r="L82" s="2">
        <v>25</v>
      </c>
      <c r="M82" s="2">
        <v>25</v>
      </c>
      <c r="N82" s="2">
        <v>25</v>
      </c>
      <c r="O82" s="2">
        <v>25</v>
      </c>
      <c r="P82" s="9"/>
      <c r="Q82" s="2">
        <f>SUM(OSRRefD21_16_1x)+IFERROR(SUM(OSRRefE21_16_1x),0)</f>
        <v>150</v>
      </c>
    </row>
    <row r="83" spans="1:17" s="35" customFormat="1" collapsed="1" x14ac:dyDescent="0.3">
      <c r="A83" s="34"/>
      <c r="B83" s="14" t="str">
        <f>CONCATENATE("     ","Utilities                                         ")</f>
        <v xml:space="preserve">     Utilities                                         </v>
      </c>
      <c r="C83" s="14"/>
      <c r="D83" s="1">
        <f>SUM(OSRRefD21_17x_0)</f>
        <v>36.49</v>
      </c>
      <c r="E83" s="1">
        <f>SUM(OSRRefD21_17x_1)</f>
        <v>37.29</v>
      </c>
      <c r="F83" s="1">
        <f>SUM(OSRRefD21_17x_2)</f>
        <v>37.6</v>
      </c>
      <c r="G83" s="1">
        <f>SUM(OSRRefD21_17x_3)</f>
        <v>38.6</v>
      </c>
      <c r="H83" s="1">
        <f>SUM(OSRRefD21_17x_4)</f>
        <v>33.61</v>
      </c>
      <c r="I83" s="1">
        <f>SUM(OSRRefD21_17x_5)</f>
        <v>62.92</v>
      </c>
      <c r="J83" s="1">
        <f>SUM(OSRRefE21_17x_0)</f>
        <v>120</v>
      </c>
      <c r="K83" s="1">
        <f>SUM(OSRRefE21_17x_1)</f>
        <v>2800</v>
      </c>
      <c r="L83" s="1">
        <f>SUM(OSRRefE21_17x_2)</f>
        <v>120</v>
      </c>
      <c r="M83" s="1">
        <f>SUM(OSRRefE21_17x_3)</f>
        <v>120</v>
      </c>
      <c r="N83" s="1">
        <f>SUM(OSRRefE21_17x_4)</f>
        <v>120</v>
      </c>
      <c r="O83" s="1">
        <f>SUM(OSRRefE21_17x_5)</f>
        <v>120</v>
      </c>
      <c r="Q83" s="2">
        <f>SUM(OSRRefD20_17x)+IFERROR(SUM(OSRRefE20_17x),0)</f>
        <v>3646.51</v>
      </c>
    </row>
    <row r="84" spans="1:17" s="35" customFormat="1" hidden="1" outlineLevel="1" x14ac:dyDescent="0.3">
      <c r="A84" s="34"/>
      <c r="B84" s="10" t="str">
        <f>CONCATENATE("          ","6274", " - ","UTILITIES")</f>
        <v xml:space="preserve">          6274 - UTILITIES</v>
      </c>
      <c r="C84" s="14"/>
      <c r="D84" s="2">
        <v>36.49</v>
      </c>
      <c r="E84" s="2">
        <v>37.29</v>
      </c>
      <c r="F84" s="2">
        <v>37.6</v>
      </c>
      <c r="G84" s="2">
        <v>38.6</v>
      </c>
      <c r="H84" s="2">
        <v>33.61</v>
      </c>
      <c r="I84" s="2">
        <v>62.92</v>
      </c>
      <c r="J84" s="2">
        <v>120</v>
      </c>
      <c r="K84" s="2">
        <v>2800</v>
      </c>
      <c r="L84" s="2">
        <v>120</v>
      </c>
      <c r="M84" s="2">
        <v>120</v>
      </c>
      <c r="N84" s="2">
        <v>120</v>
      </c>
      <c r="O84" s="2">
        <v>120</v>
      </c>
      <c r="P84" s="9"/>
      <c r="Q84" s="2">
        <f>SUM(OSRRefD21_17_0x)+IFERROR(SUM(OSRRefE21_17_0x),0)</f>
        <v>3646.51</v>
      </c>
    </row>
    <row r="85" spans="1:17" s="29" customFormat="1" x14ac:dyDescent="0.3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">
      <c r="A86" s="23"/>
      <c r="B86" s="16" t="s">
        <v>293</v>
      </c>
      <c r="C86" s="22"/>
      <c r="D86" s="3">
        <f t="shared" ref="D86:I86" si="3">0</f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3">
        <f t="shared" si="3"/>
        <v>0</v>
      </c>
      <c r="I86" s="3">
        <f t="shared" si="3"/>
        <v>0</v>
      </c>
      <c r="J86" s="3"/>
      <c r="K86" s="3"/>
      <c r="L86" s="3"/>
      <c r="M86" s="3"/>
      <c r="N86" s="3"/>
      <c r="O86" s="3"/>
      <c r="Q86" s="2">
        <f>SUM(OSRRefD23_0x)+IFERROR(SUM(OSRRefE23_0x),0)</f>
        <v>0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6"/>
      <c r="B88" s="17" t="s">
        <v>276</v>
      </c>
      <c r="C88" s="17"/>
      <c r="D88" s="7">
        <f t="shared" ref="D88:O88" si="4">IFERROR(+D22-D25+D86, 0)</f>
        <v>-1073.2400000000034</v>
      </c>
      <c r="E88" s="7">
        <f t="shared" si="4"/>
        <v>2020.4700000000048</v>
      </c>
      <c r="F88" s="7">
        <f t="shared" si="4"/>
        <v>-3044.0599999999995</v>
      </c>
      <c r="G88" s="7">
        <f t="shared" si="4"/>
        <v>-2512.33</v>
      </c>
      <c r="H88" s="7">
        <f t="shared" si="4"/>
        <v>-2534.2500000000055</v>
      </c>
      <c r="I88" s="7">
        <f t="shared" si="4"/>
        <v>11798.18</v>
      </c>
      <c r="J88" s="7">
        <f t="shared" si="4"/>
        <v>-11655.408929961544</v>
      </c>
      <c r="K88" s="7">
        <f t="shared" si="4"/>
        <v>-9956.0271439692297</v>
      </c>
      <c r="L88" s="7">
        <f t="shared" si="4"/>
        <v>-5306.0271439692297</v>
      </c>
      <c r="M88" s="7">
        <f t="shared" si="4"/>
        <v>9305.5910700384557</v>
      </c>
      <c r="N88" s="7">
        <f t="shared" si="4"/>
        <v>13130.97285603077</v>
      </c>
      <c r="O88" s="7">
        <f t="shared" si="4"/>
        <v>13310.937832730771</v>
      </c>
      <c r="Q88" s="7">
        <f>IFERROR(+Q22-Q25+Q86, 0)</f>
        <v>13484.808540900063</v>
      </c>
    </row>
    <row r="89" spans="1:17" s="6" customFormat="1" x14ac:dyDescent="0.3">
      <c r="B89" s="16"/>
      <c r="C89" s="16"/>
      <c r="D89" s="4">
        <f t="shared" ref="D89:O89" si="5">IFERROR(D88/D10, 0)</f>
        <v>-3.3738153027565845E-2</v>
      </c>
      <c r="E89" s="4">
        <f t="shared" si="5"/>
        <v>5.766973148996779E-2</v>
      </c>
      <c r="F89" s="4">
        <f t="shared" si="5"/>
        <v>-0.1345232781669134</v>
      </c>
      <c r="G89" s="4">
        <f t="shared" si="5"/>
        <v>-8.8605402949974849E-2</v>
      </c>
      <c r="H89" s="4">
        <f t="shared" si="5"/>
        <v>-8.6243626802719145E-2</v>
      </c>
      <c r="I89" s="4">
        <f t="shared" si="5"/>
        <v>0.20518181391312515</v>
      </c>
      <c r="J89" s="4">
        <f t="shared" si="5"/>
        <v>-0.52770448363116518</v>
      </c>
      <c r="K89" s="4">
        <f t="shared" si="5"/>
        <v>-0.41306174102681115</v>
      </c>
      <c r="L89" s="4">
        <f t="shared" si="5"/>
        <v>-0.18971100661336585</v>
      </c>
      <c r="M89" s="4">
        <f t="shared" si="5"/>
        <v>0.15341836732402037</v>
      </c>
      <c r="N89" s="4">
        <f t="shared" si="5"/>
        <v>0.20936529953172567</v>
      </c>
      <c r="O89" s="4">
        <f t="shared" si="5"/>
        <v>0.21945326572798238</v>
      </c>
      <c r="P89" s="18"/>
      <c r="Q89" s="4">
        <f>IFERROR(Q88/Q10, 0)</f>
        <v>2.9131048852544555E-2</v>
      </c>
    </row>
    <row r="90" spans="1:17" x14ac:dyDescent="0.3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25"/>
      <c r="B91" s="6" t="s">
        <v>125</v>
      </c>
      <c r="C91" s="6"/>
      <c r="D91" s="3">
        <v>14696.49</v>
      </c>
      <c r="E91" s="3">
        <v>-4707.4799999999996</v>
      </c>
      <c r="F91" s="3">
        <v>1085.76</v>
      </c>
      <c r="G91" s="3">
        <v>2545.25</v>
      </c>
      <c r="H91" s="3">
        <v>3914.83</v>
      </c>
      <c r="I91" s="3">
        <v>7106.81</v>
      </c>
      <c r="J91" s="3">
        <v>2064</v>
      </c>
      <c r="K91" s="3">
        <v>2365</v>
      </c>
      <c r="L91" s="3">
        <v>3306</v>
      </c>
      <c r="M91" s="3">
        <v>7761</v>
      </c>
      <c r="N91" s="3">
        <v>8062</v>
      </c>
      <c r="O91" s="3">
        <v>3009</v>
      </c>
      <c r="Q91" s="2">
        <f>SUM(OSRRefD28_0x)+IFERROR(SUM(OSRRefE28_0x),0)</f>
        <v>51208.66</v>
      </c>
    </row>
    <row r="92" spans="1:17" x14ac:dyDescent="0.3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124</v>
      </c>
      <c r="C93" s="17"/>
      <c r="D93" s="8">
        <f t="shared" ref="D93:O93" si="6">IFERROR(+D88-D91, 0)</f>
        <v>-15769.730000000003</v>
      </c>
      <c r="E93" s="8">
        <f t="shared" si="6"/>
        <v>6727.9500000000044</v>
      </c>
      <c r="F93" s="8">
        <f t="shared" si="6"/>
        <v>-4129.82</v>
      </c>
      <c r="G93" s="8">
        <f t="shared" si="6"/>
        <v>-5057.58</v>
      </c>
      <c r="H93" s="8">
        <f t="shared" si="6"/>
        <v>-6449.0800000000054</v>
      </c>
      <c r="I93" s="8">
        <f t="shared" si="6"/>
        <v>4691.37</v>
      </c>
      <c r="J93" s="8">
        <f t="shared" si="6"/>
        <v>-13719.408929961544</v>
      </c>
      <c r="K93" s="8">
        <f t="shared" si="6"/>
        <v>-12321.02714396923</v>
      </c>
      <c r="L93" s="8">
        <f t="shared" si="6"/>
        <v>-8612.0271439692297</v>
      </c>
      <c r="M93" s="8">
        <f t="shared" si="6"/>
        <v>1544.5910700384557</v>
      </c>
      <c r="N93" s="8">
        <f t="shared" si="6"/>
        <v>5068.9728560307703</v>
      </c>
      <c r="O93" s="8">
        <f t="shared" si="6"/>
        <v>10301.937832730771</v>
      </c>
      <c r="Q93" s="8">
        <f>IFERROR(+Q88-Q91, 0)</f>
        <v>-37723.85145909994</v>
      </c>
    </row>
    <row r="94" spans="1:17" ht="15" thickTop="1" x14ac:dyDescent="0.3">
      <c r="A94" s="5"/>
      <c r="B94" s="5"/>
      <c r="C94" s="5"/>
      <c r="D94" s="4">
        <f t="shared" ref="D94:O94" si="7">IFERROR(D93/D10, 0)</f>
        <v>-0.49573400538872414</v>
      </c>
      <c r="E94" s="4">
        <f t="shared" si="7"/>
        <v>0.19203406632017705</v>
      </c>
      <c r="F94" s="4">
        <f t="shared" si="7"/>
        <v>-0.18250524780696908</v>
      </c>
      <c r="G94" s="4">
        <f t="shared" si="7"/>
        <v>-0.17837183564728115</v>
      </c>
      <c r="H94" s="4">
        <f t="shared" si="7"/>
        <v>-0.21947007940845586</v>
      </c>
      <c r="I94" s="4">
        <f t="shared" si="7"/>
        <v>8.1587482674244496E-2</v>
      </c>
      <c r="J94" s="4">
        <f t="shared" si="7"/>
        <v>-0.62115311857479716</v>
      </c>
      <c r="K94" s="4">
        <f t="shared" si="7"/>
        <v>-0.51118230693147038</v>
      </c>
      <c r="L94" s="4">
        <f t="shared" si="7"/>
        <v>-0.30791330201184275</v>
      </c>
      <c r="M94" s="4">
        <f t="shared" si="7"/>
        <v>2.5465189515101076E-2</v>
      </c>
      <c r="N94" s="4">
        <f t="shared" si="7"/>
        <v>8.0821659747293759E-2</v>
      </c>
      <c r="O94" s="4">
        <f t="shared" si="7"/>
        <v>0.16984482454423824</v>
      </c>
      <c r="P94" s="18"/>
      <c r="Q94" s="4">
        <f>IFERROR(Q93/Q10, 0)</f>
        <v>-8.1494324255924844E-2</v>
      </c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294</v>
      </c>
      <c r="C97" s="17"/>
      <c r="D97" s="8">
        <f t="shared" ref="D97:O97" si="8">IFERROR(SUM(D93:D96), 0)</f>
        <v>-15770.225734005391</v>
      </c>
      <c r="E97" s="8">
        <f t="shared" si="8"/>
        <v>6728.1420340663244</v>
      </c>
      <c r="F97" s="8">
        <f t="shared" si="8"/>
        <v>-4130.0025052478068</v>
      </c>
      <c r="G97" s="8">
        <f t="shared" si="8"/>
        <v>-5057.7583718356473</v>
      </c>
      <c r="H97" s="8">
        <f t="shared" si="8"/>
        <v>-6449.2994700794143</v>
      </c>
      <c r="I97" s="8">
        <f t="shared" si="8"/>
        <v>4691.4515874826739</v>
      </c>
      <c r="J97" s="8">
        <f t="shared" si="8"/>
        <v>-13720.030083080119</v>
      </c>
      <c r="K97" s="8">
        <f t="shared" si="8"/>
        <v>-12321.538326276161</v>
      </c>
      <c r="L97" s="8">
        <f t="shared" si="8"/>
        <v>-8612.3350572712407</v>
      </c>
      <c r="M97" s="8">
        <f t="shared" si="8"/>
        <v>1544.6165352279706</v>
      </c>
      <c r="N97" s="8">
        <f t="shared" si="8"/>
        <v>5069.0536776905174</v>
      </c>
      <c r="O97" s="8">
        <f t="shared" si="8"/>
        <v>10302.107677555316</v>
      </c>
      <c r="Q97" s="8">
        <f>IFERROR(SUM(Q93:Q96), 0)</f>
        <v>-37723.932953424199</v>
      </c>
    </row>
    <row r="98" spans="1:17" ht="15" thickTop="1" x14ac:dyDescent="0.3">
      <c r="A98" s="5"/>
      <c r="C98" s="5"/>
      <c r="D98" s="4">
        <f t="shared" ref="D98:O98" si="9">IFERROR(D97/D10, 0)</f>
        <v>-0.49574958918147766</v>
      </c>
      <c r="E98" s="4">
        <f t="shared" si="9"/>
        <v>0.19203954749685456</v>
      </c>
      <c r="F98" s="4">
        <f t="shared" si="9"/>
        <v>-0.18251331308959087</v>
      </c>
      <c r="G98" s="4">
        <f t="shared" si="9"/>
        <v>-0.17837812650412418</v>
      </c>
      <c r="H98" s="4">
        <f t="shared" si="9"/>
        <v>-0.2194775482436627</v>
      </c>
      <c r="I98" s="4">
        <f t="shared" si="9"/>
        <v>8.1588901559842747E-2</v>
      </c>
      <c r="J98" s="4">
        <f t="shared" si="9"/>
        <v>-0.62118124159370303</v>
      </c>
      <c r="K98" s="4">
        <f t="shared" si="9"/>
        <v>-0.51120351517554496</v>
      </c>
      <c r="L98" s="4">
        <f t="shared" si="9"/>
        <v>-0.30792431110412388</v>
      </c>
      <c r="M98" s="4">
        <f t="shared" si="9"/>
        <v>2.5465609351710009E-2</v>
      </c>
      <c r="N98" s="4">
        <f t="shared" si="9"/>
        <v>8.0822948399032452E-2</v>
      </c>
      <c r="O98" s="4">
        <f t="shared" si="9"/>
        <v>0.16984762472269913</v>
      </c>
      <c r="P98" s="18"/>
      <c r="Q98" s="4">
        <f>IFERROR(Q97/Q10, 0)</f>
        <v>-8.1494500307007361E-2</v>
      </c>
    </row>
    <row r="99" spans="1:17" x14ac:dyDescent="0.3">
      <c r="A99" s="5"/>
      <c r="B99" s="28">
        <v>44575.850692245367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3">
      <c r="A100" s="5"/>
      <c r="B100" s="26" t="s">
        <v>54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3">
      <c r="A101" s="5"/>
      <c r="B101" s="3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123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SUM(OSRRefD11x_4)</f>
        <v>6788.13</v>
      </c>
      <c r="I10" s="3">
        <f>SUM(OSRRefD11x_5)</f>
        <v>7749.7099999999991</v>
      </c>
      <c r="J10" s="3">
        <f>SUM(OSRRefE11x_0)</f>
        <v>89000</v>
      </c>
      <c r="K10" s="3">
        <f>SUM(OSRRefE11x_1)</f>
        <v>46600</v>
      </c>
      <c r="L10" s="3">
        <f>SUM(OSRRefE11x_2)</f>
        <v>46600</v>
      </c>
      <c r="M10" s="3">
        <f>SUM(OSRRefE11x_3)</f>
        <v>40000</v>
      </c>
      <c r="N10" s="3">
        <f>SUM(OSRRefE11x_4)</f>
        <v>47000</v>
      </c>
      <c r="O10" s="3">
        <f>SUM(OSRRefE11x_5)</f>
        <v>5600</v>
      </c>
      <c r="P10" s="24"/>
      <c r="Q10" s="3">
        <f>SUM(OSRRefG11x)</f>
        <v>373758.70999999996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f>--3447.29</f>
        <v>3447.29</v>
      </c>
      <c r="I11" s="2">
        <f>--4665.65</f>
        <v>4665.6499999999996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214677.18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f>--3340.84</f>
        <v>3340.84</v>
      </c>
      <c r="I12" s="2">
        <f>--3084.06</f>
        <v>3084.06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159484.53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I15" si="0">0</f>
        <v>0</v>
      </c>
      <c r="I13" s="2">
        <f t="shared" si="0"/>
        <v>0</v>
      </c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>
        <f t="shared" si="0"/>
        <v>0</v>
      </c>
      <c r="I15" s="2">
        <f t="shared" si="0"/>
        <v>0</v>
      </c>
      <c r="J15" s="2"/>
      <c r="K15" s="2"/>
      <c r="L15" s="2"/>
      <c r="M15" s="2"/>
      <c r="N15" s="2"/>
      <c r="O15" s="2"/>
      <c r="Q15" s="2">
        <f>SUM(OSRRefD11_4x)+IFERROR(SUM(OSRRefE11_4x),0)</f>
        <v>-403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SUM(OSRRefD14x_4)</f>
        <v>8.26</v>
      </c>
      <c r="I17" s="3">
        <f>SUM(OSRRefD14x_5)</f>
        <v>0</v>
      </c>
      <c r="J17" s="3">
        <f>SUM(OSRRefE14x_0)</f>
        <v>0</v>
      </c>
      <c r="K17" s="3">
        <f>SUM(OSRRefE14x_1)</f>
        <v>0</v>
      </c>
      <c r="L17" s="3">
        <f>SUM(OSRRefE14x_2)</f>
        <v>0</v>
      </c>
      <c r="M17" s="3">
        <f>SUM(OSRRefE14x_3)</f>
        <v>0</v>
      </c>
      <c r="N17" s="3">
        <f>SUM(OSRRefE14x_4)</f>
        <v>0</v>
      </c>
      <c r="O17" s="3">
        <f>SUM(OSRRefE14x_5)</f>
        <v>0</v>
      </c>
      <c r="Q17" s="3">
        <f>SUM(OSRRefG14x)</f>
        <v>8.26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/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s="9" customFormat="1" hidden="1" outlineLevel="1" x14ac:dyDescent="0.3">
      <c r="A19" s="23"/>
      <c r="B19" s="10" t="str">
        <f>CONCATENATE("          ","5500", " - ","FREIGHT-IN")</f>
        <v xml:space="preserve">          5500 - FREIGHT-IN</v>
      </c>
      <c r="C19" s="22"/>
      <c r="D19" s="2"/>
      <c r="E19" s="2"/>
      <c r="F19" s="2"/>
      <c r="G19" s="2"/>
      <c r="H19" s="2">
        <v>8.26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8.26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IFERROR(+D10-D17, 0)</f>
        <v>2531.7999999999997</v>
      </c>
      <c r="E21" s="7">
        <f t="shared" si="1"/>
        <v>55943.87</v>
      </c>
      <c r="F21" s="7">
        <f t="shared" si="1"/>
        <v>16536.91</v>
      </c>
      <c r="G21" s="7">
        <f t="shared" si="1"/>
        <v>9408.2899999999991</v>
      </c>
      <c r="H21" s="7">
        <f t="shared" si="1"/>
        <v>6779.87</v>
      </c>
      <c r="I21" s="7">
        <f t="shared" si="1"/>
        <v>7749.7099999999991</v>
      </c>
      <c r="J21" s="7">
        <f t="shared" si="1"/>
        <v>89000</v>
      </c>
      <c r="K21" s="7">
        <f t="shared" si="1"/>
        <v>46600</v>
      </c>
      <c r="L21" s="7">
        <f t="shared" si="1"/>
        <v>46600</v>
      </c>
      <c r="M21" s="7">
        <f t="shared" si="1"/>
        <v>40000</v>
      </c>
      <c r="N21" s="7">
        <f t="shared" si="1"/>
        <v>47000</v>
      </c>
      <c r="O21" s="7">
        <f t="shared" si="1"/>
        <v>5600</v>
      </c>
      <c r="Q21" s="7">
        <f>IFERROR(+Q10-Q17, 0)</f>
        <v>373750.44999999995</v>
      </c>
    </row>
    <row r="22" spans="1:17" s="6" customFormat="1" x14ac:dyDescent="0.3">
      <c r="B22" s="16"/>
      <c r="C22" s="16"/>
      <c r="D22" s="4">
        <f t="shared" ref="D22:O22" si="2">IFERROR(D21/D10, 0)</f>
        <v>1</v>
      </c>
      <c r="E22" s="4">
        <f t="shared" si="2"/>
        <v>1</v>
      </c>
      <c r="F22" s="4">
        <f t="shared" si="2"/>
        <v>1</v>
      </c>
      <c r="G22" s="4">
        <f t="shared" si="2"/>
        <v>1</v>
      </c>
      <c r="H22" s="4">
        <f t="shared" si="2"/>
        <v>0.99878317003357331</v>
      </c>
      <c r="I22" s="4">
        <f t="shared" si="2"/>
        <v>1</v>
      </c>
      <c r="J22" s="4">
        <f t="shared" si="2"/>
        <v>1</v>
      </c>
      <c r="K22" s="4">
        <f t="shared" si="2"/>
        <v>1</v>
      </c>
      <c r="L22" s="4">
        <f t="shared" si="2"/>
        <v>1</v>
      </c>
      <c r="M22" s="4">
        <f t="shared" si="2"/>
        <v>1</v>
      </c>
      <c r="N22" s="4">
        <f t="shared" si="2"/>
        <v>1</v>
      </c>
      <c r="O22" s="4">
        <f t="shared" si="2"/>
        <v>1</v>
      </c>
      <c r="P22" s="18"/>
      <c r="Q22" s="4">
        <f>IFERROR(Q21/Q10, 0)</f>
        <v>0.99997790018057364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37658.880000000005</v>
      </c>
      <c r="E24" s="12">
        <f>SUM(OSRRefD20x_1)</f>
        <v>17838.41</v>
      </c>
      <c r="F24" s="12">
        <f>SUM(OSRRefD20x_2)</f>
        <v>34563.810000000005</v>
      </c>
      <c r="G24" s="12">
        <f>SUM(OSRRefD20x_3)</f>
        <v>23303.37</v>
      </c>
      <c r="H24" s="12">
        <f>SUM(OSRRefD20x_4)</f>
        <v>12008.599999999999</v>
      </c>
      <c r="I24" s="12">
        <f>SUM(OSRRefD20x_5)</f>
        <v>17624.77</v>
      </c>
      <c r="J24" s="12">
        <f>SUM(OSRRefE20x_0)</f>
        <v>21299.301879519251</v>
      </c>
      <c r="K24" s="12">
        <f>SUM(OSRRefE20x_1)</f>
        <v>37607.656323615389</v>
      </c>
      <c r="L24" s="12">
        <f>SUM(OSRRefE20x_2)</f>
        <v>23986.604975615392</v>
      </c>
      <c r="M24" s="12">
        <f>SUM(OSRRefE20x_3)</f>
        <v>26953.730955519248</v>
      </c>
      <c r="N24" s="12">
        <f>SUM(OSRRefE20x_4)</f>
        <v>31036.604975615392</v>
      </c>
      <c r="O24" s="12">
        <f>SUM(OSRRefE20x_5)</f>
        <v>24289.503919615392</v>
      </c>
      <c r="Q24" s="12">
        <f>SUM(OSRRefG20x)</f>
        <v>308171.24302950001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8921.32</v>
      </c>
      <c r="E25" s="1">
        <f>SUM(OSRRefD21_0x_1)</f>
        <v>9174.36</v>
      </c>
      <c r="F25" s="1">
        <f>SUM(OSRRefD21_0x_2)</f>
        <v>8204.0700000000015</v>
      </c>
      <c r="G25" s="1">
        <f>SUM(OSRRefD21_0x_3)</f>
        <v>10120.960000000001</v>
      </c>
      <c r="H25" s="1">
        <f>SUM(OSRRefD21_0x_4)</f>
        <v>11414.57</v>
      </c>
      <c r="I25" s="1">
        <f>SUM(OSRRefD21_0x_5)</f>
        <v>4512.1400000000003</v>
      </c>
      <c r="J25" s="1">
        <f>SUM(OSRRefE21_0x_0)</f>
        <v>5208.6216872115401</v>
      </c>
      <c r="K25" s="1">
        <f>SUM(OSRRefE21_0x_1)</f>
        <v>4568.4361697692329</v>
      </c>
      <c r="L25" s="1">
        <f>SUM(OSRRefE21_0x_2)</f>
        <v>4438.2928217692333</v>
      </c>
      <c r="M25" s="1">
        <f>SUM(OSRRefE21_0x_3)</f>
        <v>5059.6947632115398</v>
      </c>
      <c r="N25" s="1">
        <f>SUM(OSRRefE21_0x_4)</f>
        <v>4438.2928217692333</v>
      </c>
      <c r="O25" s="1">
        <f>SUM(OSRRefE21_0x_5)</f>
        <v>4161.6077657692331</v>
      </c>
      <c r="Q25" s="2">
        <f>SUM(OSRRefD20_0x)+IFERROR(SUM(OSRRefE20_0x),0)</f>
        <v>80222.366029500015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1247.51</v>
      </c>
      <c r="E26" s="2">
        <v>1387.4</v>
      </c>
      <c r="F26" s="2">
        <v>1244.83</v>
      </c>
      <c r="G26" s="2">
        <v>1811.85</v>
      </c>
      <c r="H26" s="2">
        <v>2780.09</v>
      </c>
      <c r="I26" s="2">
        <v>690.61</v>
      </c>
      <c r="J26" s="2">
        <v>1110.7071170192301</v>
      </c>
      <c r="K26" s="2">
        <v>929.43271361538496</v>
      </c>
      <c r="L26" s="2">
        <v>849.25988561538497</v>
      </c>
      <c r="M26" s="2">
        <v>1018.96295301923</v>
      </c>
      <c r="N26" s="2">
        <v>849.25988561538497</v>
      </c>
      <c r="O26" s="2">
        <v>678.81226961538505</v>
      </c>
      <c r="P26" s="9"/>
      <c r="Q26" s="2">
        <f>SUM(OSRRefD21_0_0x)+IFERROR(SUM(OSRRefE21_0_0x),0)</f>
        <v>14598.724824500001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251.73</v>
      </c>
      <c r="E27" s="2">
        <v>285</v>
      </c>
      <c r="F27" s="2">
        <v>291.74</v>
      </c>
      <c r="G27" s="2">
        <v>441.7</v>
      </c>
      <c r="H27" s="2">
        <v>567.87</v>
      </c>
      <c r="I27" s="2">
        <v>172.02</v>
      </c>
      <c r="J27" s="2">
        <v>226.40835000000001</v>
      </c>
      <c r="K27" s="2">
        <v>189.45707999999999</v>
      </c>
      <c r="L27" s="2">
        <v>173.11452</v>
      </c>
      <c r="M27" s="2">
        <v>207.70706999999999</v>
      </c>
      <c r="N27" s="2">
        <v>173.11452</v>
      </c>
      <c r="O27" s="2">
        <v>138.37020000000001</v>
      </c>
      <c r="P27" s="9"/>
      <c r="Q27" s="2">
        <f>SUM(OSRRefD21_0_1x)+IFERROR(SUM(OSRRefE21_0_1x),0)</f>
        <v>3118.2317400000002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3410.23</v>
      </c>
      <c r="E28" s="2">
        <v>3410.23</v>
      </c>
      <c r="F28" s="2">
        <v>3443.98</v>
      </c>
      <c r="G28" s="2">
        <v>3410.23</v>
      </c>
      <c r="H28" s="2">
        <v>2817.93</v>
      </c>
      <c r="I28" s="2">
        <v>1393.42</v>
      </c>
      <c r="J28" s="2">
        <v>1326</v>
      </c>
      <c r="K28" s="2">
        <v>1326</v>
      </c>
      <c r="L28" s="2">
        <v>1326</v>
      </c>
      <c r="M28" s="2">
        <v>1326</v>
      </c>
      <c r="N28" s="2">
        <v>1326</v>
      </c>
      <c r="O28" s="2">
        <v>1326</v>
      </c>
      <c r="P28" s="9"/>
      <c r="Q28" s="2">
        <f>SUM(OSRRefD21_0_2x)+IFERROR(SUM(OSRRefE21_0_2x),0)</f>
        <v>25842.019999999997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44.22</v>
      </c>
      <c r="E29" s="2">
        <v>50.07</v>
      </c>
      <c r="F29" s="2">
        <v>51.25</v>
      </c>
      <c r="G29" s="2">
        <v>77.599999999999994</v>
      </c>
      <c r="H29" s="2">
        <v>99.76</v>
      </c>
      <c r="I29" s="2">
        <v>30.22</v>
      </c>
      <c r="J29" s="2">
        <v>30.478047115384602</v>
      </c>
      <c r="K29" s="2">
        <v>25.503837692307702</v>
      </c>
      <c r="L29" s="2">
        <v>23.303877692307701</v>
      </c>
      <c r="M29" s="2">
        <v>27.960567115384599</v>
      </c>
      <c r="N29" s="2">
        <v>23.303877692307701</v>
      </c>
      <c r="O29" s="2">
        <v>18.626757692307699</v>
      </c>
      <c r="P29" s="9"/>
      <c r="Q29" s="2">
        <f>SUM(OSRRefD21_0_3x)+IFERROR(SUM(OSRRefE21_0_3x),0)</f>
        <v>502.296965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1590.79</v>
      </c>
      <c r="E30" s="2">
        <v>1590.79</v>
      </c>
      <c r="F30" s="2">
        <v>1590.79</v>
      </c>
      <c r="G30" s="2">
        <v>2386.1799999999998</v>
      </c>
      <c r="H30" s="2">
        <v>3677.36</v>
      </c>
      <c r="I30" s="2">
        <v>810.13</v>
      </c>
      <c r="J30" s="2">
        <v>953.51259615384697</v>
      </c>
      <c r="K30" s="2">
        <v>762.81007692307799</v>
      </c>
      <c r="L30" s="2">
        <v>762.81007692307799</v>
      </c>
      <c r="M30" s="2">
        <v>953.51259615384697</v>
      </c>
      <c r="N30" s="2">
        <v>762.81007692307799</v>
      </c>
      <c r="O30" s="2">
        <v>762.81007692307799</v>
      </c>
      <c r="P30" s="9"/>
      <c r="Q30" s="2">
        <f>SUM(OSRRefD21_0_4x)+IFERROR(SUM(OSRRefE21_0_4x),0)</f>
        <v>16604.305500000006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1216.0999999999999</v>
      </c>
      <c r="E32" s="2">
        <v>1216.0999999999999</v>
      </c>
      <c r="F32" s="2">
        <v>697.52</v>
      </c>
      <c r="G32" s="2">
        <v>834.2</v>
      </c>
      <c r="H32" s="2">
        <v>639.32000000000005</v>
      </c>
      <c r="I32" s="2">
        <v>639.32000000000005</v>
      </c>
      <c r="J32" s="2">
        <v>776.11490384615502</v>
      </c>
      <c r="K32" s="2">
        <v>620.89192307692304</v>
      </c>
      <c r="L32" s="2">
        <v>620.89192307692304</v>
      </c>
      <c r="M32" s="2">
        <v>776.11490384615502</v>
      </c>
      <c r="N32" s="2">
        <v>620.89192307692304</v>
      </c>
      <c r="O32" s="2">
        <v>620.89192307692304</v>
      </c>
      <c r="P32" s="9"/>
      <c r="Q32" s="2">
        <f>SUM(OSRRefD21_0_6x)+IFERROR(SUM(OSRRefE21_0_6x),0)</f>
        <v>9278.3575000000019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738.5</v>
      </c>
      <c r="E33" s="2">
        <v>738.5</v>
      </c>
      <c r="F33" s="2">
        <v>566.41999999999996</v>
      </c>
      <c r="G33" s="2">
        <v>591.51</v>
      </c>
      <c r="H33" s="2">
        <v>410.1</v>
      </c>
      <c r="I33" s="2">
        <v>410.1</v>
      </c>
      <c r="J33" s="2">
        <v>435.400673076923</v>
      </c>
      <c r="K33" s="2">
        <v>364.34053846153898</v>
      </c>
      <c r="L33" s="2">
        <v>332.91253846153899</v>
      </c>
      <c r="M33" s="2">
        <v>399.436673076923</v>
      </c>
      <c r="N33" s="2">
        <v>332.91253846153899</v>
      </c>
      <c r="O33" s="2">
        <v>266.09653846153901</v>
      </c>
      <c r="P33" s="9"/>
      <c r="Q33" s="2">
        <f>SUM(OSRRefD21_0_7x)+IFERROR(SUM(OSRRefE21_0_7x),0)</f>
        <v>5586.2295000000022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422.24</v>
      </c>
      <c r="E34" s="2">
        <v>496.27</v>
      </c>
      <c r="F34" s="2">
        <v>317.54000000000002</v>
      </c>
      <c r="G34" s="2">
        <v>567.69000000000005</v>
      </c>
      <c r="H34" s="2">
        <v>422.14</v>
      </c>
      <c r="I34" s="2">
        <v>366.32</v>
      </c>
      <c r="J34" s="2">
        <v>350</v>
      </c>
      <c r="K34" s="2">
        <v>350</v>
      </c>
      <c r="L34" s="2">
        <v>350</v>
      </c>
      <c r="M34" s="2">
        <v>350</v>
      </c>
      <c r="N34" s="2">
        <v>350</v>
      </c>
      <c r="O34" s="2">
        <v>350</v>
      </c>
      <c r="P34" s="9"/>
      <c r="Q34" s="2">
        <f>SUM(OSRRefD21_0_8x)+IFERROR(SUM(OSRRefE21_0_8x),0)</f>
        <v>4692.2000000000007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19441.55</v>
      </c>
      <c r="E35" s="1">
        <f>SUM(OSRRefD21_1x_1)</f>
        <v>17940.689999999999</v>
      </c>
      <c r="F35" s="1">
        <f>SUM(OSRRefD21_1x_2)</f>
        <v>17178.86</v>
      </c>
      <c r="G35" s="1">
        <f>SUM(OSRRefD21_1x_3)</f>
        <v>22697.439999999999</v>
      </c>
      <c r="H35" s="1">
        <f>SUM(OSRRefD21_1x_4)</f>
        <v>91.619999999999891</v>
      </c>
      <c r="I35" s="1">
        <f>SUM(OSRRefD21_1x_5)</f>
        <v>10711.42</v>
      </c>
      <c r="J35" s="1">
        <f>SUM(OSRRefE21_1x_0)</f>
        <v>13545.680192307711</v>
      </c>
      <c r="K35" s="1">
        <f>SUM(OSRRefE21_1x_1)</f>
        <v>11394.22015384616</v>
      </c>
      <c r="L35" s="1">
        <f>SUM(OSRRefE21_1x_2)</f>
        <v>10303.312153846158</v>
      </c>
      <c r="M35" s="1">
        <f>SUM(OSRRefE21_1x_3)</f>
        <v>12299.036192307709</v>
      </c>
      <c r="N35" s="1">
        <f>SUM(OSRRefE21_1x_4)</f>
        <v>10303.312153846158</v>
      </c>
      <c r="O35" s="1">
        <f>SUM(OSRRefE21_1x_5)</f>
        <v>7982.8961538461599</v>
      </c>
      <c r="Q35" s="2">
        <f>SUM(OSRRefD20_1x)+IFERROR(SUM(OSRRefE20_1x),0)</f>
        <v>153890.03700000004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18934.05</v>
      </c>
      <c r="E37" s="2">
        <v>15332.57</v>
      </c>
      <c r="F37" s="2">
        <v>14552.52</v>
      </c>
      <c r="G37" s="2">
        <v>19378.57</v>
      </c>
      <c r="H37" s="2">
        <v>-1936.7</v>
      </c>
      <c r="I37" s="2">
        <v>7763.16</v>
      </c>
      <c r="J37" s="2">
        <v>9978.6201923077097</v>
      </c>
      <c r="K37" s="2">
        <v>7982.8961538461599</v>
      </c>
      <c r="L37" s="2">
        <v>7982.8961538461599</v>
      </c>
      <c r="M37" s="2">
        <v>9978.6201923077097</v>
      </c>
      <c r="N37" s="2">
        <v>7982.8961538461599</v>
      </c>
      <c r="O37" s="2">
        <v>7982.8961538461599</v>
      </c>
      <c r="P37" s="9"/>
      <c r="Q37" s="2">
        <f>SUM(OSRRefD21_1_1x)+IFERROR(SUM(OSRRefE21_1_1x),0)</f>
        <v>125912.99500000005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/>
      <c r="I39" s="2"/>
      <c r="J39" s="2">
        <v>2009.7</v>
      </c>
      <c r="K39" s="2">
        <v>2009.7</v>
      </c>
      <c r="L39" s="2">
        <v>1386</v>
      </c>
      <c r="M39" s="2">
        <v>1386</v>
      </c>
      <c r="N39" s="2">
        <v>1386</v>
      </c>
      <c r="O39" s="2">
        <v>0</v>
      </c>
      <c r="P39" s="9"/>
      <c r="Q39" s="2">
        <f>SUM(OSRRefD21_1_3x)+IFERROR(SUM(OSRRefE21_1_3x),0)</f>
        <v>8177.4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0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507.5</v>
      </c>
      <c r="E42" s="2">
        <v>2608.12</v>
      </c>
      <c r="F42" s="2">
        <v>2626.34</v>
      </c>
      <c r="G42" s="2">
        <v>3318.87</v>
      </c>
      <c r="H42" s="2">
        <v>2028.32</v>
      </c>
      <c r="I42" s="2">
        <v>2948.26</v>
      </c>
      <c r="J42" s="2">
        <v>1557.36</v>
      </c>
      <c r="K42" s="2">
        <v>1401.624</v>
      </c>
      <c r="L42" s="2">
        <v>934.41600000000005</v>
      </c>
      <c r="M42" s="2">
        <v>934.41600000000005</v>
      </c>
      <c r="N42" s="2">
        <v>934.41600000000005</v>
      </c>
      <c r="O42" s="2">
        <v>0</v>
      </c>
      <c r="P42" s="9"/>
      <c r="Q42" s="2">
        <f>SUM(OSRRefD21_1_6x)+IFERROR(SUM(OSRRefE21_1_6x),0)</f>
        <v>19799.642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97.75</v>
      </c>
      <c r="H46" s="1">
        <f>SUM(OSRRefD21_2x_4)</f>
        <v>0</v>
      </c>
      <c r="I46" s="1">
        <f>SUM(OSRRefD21_2x_5)</f>
        <v>0</v>
      </c>
      <c r="J46" s="1">
        <f>SUM(OSRRefE21_2x_0)</f>
        <v>50</v>
      </c>
      <c r="K46" s="1">
        <f>SUM(OSRRefE21_2x_1)</f>
        <v>50</v>
      </c>
      <c r="L46" s="1">
        <f>SUM(OSRRefE21_2x_2)</f>
        <v>50</v>
      </c>
      <c r="M46" s="1">
        <f>SUM(OSRRefE21_2x_3)</f>
        <v>50</v>
      </c>
      <c r="N46" s="1">
        <f>SUM(OSRRefE21_2x_4)</f>
        <v>50</v>
      </c>
      <c r="O46" s="1">
        <f>SUM(OSRRefE21_2x_5)</f>
        <v>50</v>
      </c>
      <c r="Q46" s="2">
        <f>SUM(OSRRefD20_2x)+IFERROR(SUM(OSRRefE20_2x),0)</f>
        <v>397.75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/>
      <c r="E47" s="2"/>
      <c r="F47" s="2"/>
      <c r="G47" s="2">
        <v>97.75</v>
      </c>
      <c r="H47" s="2"/>
      <c r="I47" s="2"/>
      <c r="J47" s="2">
        <v>50</v>
      </c>
      <c r="K47" s="2">
        <v>50</v>
      </c>
      <c r="L47" s="2">
        <v>50</v>
      </c>
      <c r="M47" s="2">
        <v>50</v>
      </c>
      <c r="N47" s="2">
        <v>50</v>
      </c>
      <c r="O47" s="2">
        <v>50</v>
      </c>
      <c r="P47" s="9"/>
      <c r="Q47" s="2">
        <f>SUM(OSRRefD21_2_0x)+IFERROR(SUM(OSRRefE21_2_0x),0)</f>
        <v>397.75</v>
      </c>
    </row>
    <row r="48" spans="1:17" s="35" customFormat="1" collapsed="1" x14ac:dyDescent="0.3">
      <c r="A48" s="34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SUM(OSRRefD21_3x_0)</f>
        <v>169.88</v>
      </c>
      <c r="E48" s="1">
        <f>SUM(OSRRefD21_3x_1)</f>
        <v>169.88</v>
      </c>
      <c r="F48" s="1">
        <f>SUM(OSRRefD21_3x_2)</f>
        <v>169.88</v>
      </c>
      <c r="G48" s="1">
        <f>SUM(OSRRefD21_3x_3)</f>
        <v>169.88</v>
      </c>
      <c r="H48" s="1">
        <f>SUM(OSRRefD21_3x_4)</f>
        <v>169.88</v>
      </c>
      <c r="I48" s="1">
        <f>SUM(OSRRefD21_3x_5)</f>
        <v>169.88</v>
      </c>
      <c r="J48" s="1">
        <f>SUM(OSRRefE21_3x_0)</f>
        <v>170</v>
      </c>
      <c r="K48" s="1">
        <f>SUM(OSRRefE21_3x_1)</f>
        <v>170</v>
      </c>
      <c r="L48" s="1">
        <f>SUM(OSRRefE21_3x_2)</f>
        <v>170</v>
      </c>
      <c r="M48" s="1">
        <f>SUM(OSRRefE21_3x_3)</f>
        <v>170</v>
      </c>
      <c r="N48" s="1">
        <f>SUM(OSRRefE21_3x_4)</f>
        <v>170</v>
      </c>
      <c r="O48" s="1">
        <f>SUM(OSRRefE21_3x_5)</f>
        <v>170</v>
      </c>
      <c r="Q48" s="2">
        <f>SUM(OSRRefD20_3x)+IFERROR(SUM(OSRRefE20_3x),0)</f>
        <v>2039.28</v>
      </c>
    </row>
    <row r="49" spans="1:17" s="35" customFormat="1" hidden="1" outlineLevel="1" x14ac:dyDescent="0.3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169.88</v>
      </c>
      <c r="E49" s="2">
        <v>169.88</v>
      </c>
      <c r="F49" s="2">
        <v>169.88</v>
      </c>
      <c r="G49" s="2">
        <v>169.88</v>
      </c>
      <c r="H49" s="2">
        <v>169.88</v>
      </c>
      <c r="I49" s="2">
        <v>169.88</v>
      </c>
      <c r="J49" s="2">
        <v>170</v>
      </c>
      <c r="K49" s="2">
        <v>170</v>
      </c>
      <c r="L49" s="2">
        <v>170</v>
      </c>
      <c r="M49" s="2">
        <v>170</v>
      </c>
      <c r="N49" s="2">
        <v>170</v>
      </c>
      <c r="O49" s="2">
        <v>170</v>
      </c>
      <c r="P49" s="9"/>
      <c r="Q49" s="2">
        <f>SUM(OSRRefD21_3_0x)+IFERROR(SUM(OSRRefE21_3_0x),0)</f>
        <v>2039.28</v>
      </c>
    </row>
    <row r="50" spans="1:17" s="35" customFormat="1" collapsed="1" x14ac:dyDescent="0.3">
      <c r="A50" s="34"/>
      <c r="B50" s="14" t="str">
        <f>CONCATENATE("     ","Equipment Rental                                  ")</f>
        <v xml:space="preserve">     Equipment Rental                                  </v>
      </c>
      <c r="C50" s="14"/>
      <c r="D50" s="1">
        <f>SUM(OSRRefD21_4x_0)</f>
        <v>1205.6400000000001</v>
      </c>
      <c r="E50" s="1">
        <f>SUM(OSRRefD21_4x_1)</f>
        <v>1205.6400000000001</v>
      </c>
      <c r="F50" s="1">
        <f>SUM(OSRRefD21_4x_2)</f>
        <v>1205.6400000000001</v>
      </c>
      <c r="G50" s="1">
        <f>SUM(OSRRefD21_4x_3)</f>
        <v>1205.6400000000001</v>
      </c>
      <c r="H50" s="1">
        <f>SUM(OSRRefD21_4x_4)</f>
        <v>1205.6400000000001</v>
      </c>
      <c r="I50" s="1">
        <f>SUM(OSRRefD21_4x_5)</f>
        <v>1205.6400000000001</v>
      </c>
      <c r="J50" s="1">
        <f>SUM(OSRRefE21_4x_0)</f>
        <v>1300</v>
      </c>
      <c r="K50" s="1">
        <f>SUM(OSRRefE21_4x_1)</f>
        <v>1300</v>
      </c>
      <c r="L50" s="1">
        <f>SUM(OSRRefE21_4x_2)</f>
        <v>1300</v>
      </c>
      <c r="M50" s="1">
        <f>SUM(OSRRefE21_4x_3)</f>
        <v>1300</v>
      </c>
      <c r="N50" s="1">
        <f>SUM(OSRRefE21_4x_4)</f>
        <v>1300</v>
      </c>
      <c r="O50" s="1">
        <f>SUM(OSRRefE21_4x_5)</f>
        <v>1300</v>
      </c>
      <c r="Q50" s="2">
        <f>SUM(OSRRefD20_4x)+IFERROR(SUM(OSRRefE20_4x),0)</f>
        <v>15033.84</v>
      </c>
    </row>
    <row r="51" spans="1:17" s="35" customFormat="1" hidden="1" outlineLevel="1" x14ac:dyDescent="0.3">
      <c r="A51" s="34"/>
      <c r="B51" s="10" t="str">
        <f>CONCATENATE("          ","6351", " - ","EQUIPMENT RENTAL")</f>
        <v xml:space="preserve">          6351 - EQUIPMENT RENTAL</v>
      </c>
      <c r="C51" s="14"/>
      <c r="D51" s="2">
        <v>1205.6400000000001</v>
      </c>
      <c r="E51" s="2">
        <v>1205.6400000000001</v>
      </c>
      <c r="F51" s="2">
        <v>1205.6400000000001</v>
      </c>
      <c r="G51" s="2">
        <v>1205.6400000000001</v>
      </c>
      <c r="H51" s="2">
        <v>1205.6400000000001</v>
      </c>
      <c r="I51" s="2">
        <v>1205.6400000000001</v>
      </c>
      <c r="J51" s="2">
        <v>1300</v>
      </c>
      <c r="K51" s="2">
        <v>1300</v>
      </c>
      <c r="L51" s="2">
        <v>1300</v>
      </c>
      <c r="M51" s="2">
        <v>1300</v>
      </c>
      <c r="N51" s="2">
        <v>1300</v>
      </c>
      <c r="O51" s="2">
        <v>1300</v>
      </c>
      <c r="P51" s="9"/>
      <c r="Q51" s="2">
        <f>SUM(OSRRefD21_4_0x)+IFERROR(SUM(OSRRefE21_4_0x),0)</f>
        <v>15033.84</v>
      </c>
    </row>
    <row r="52" spans="1:17" s="35" customFormat="1" collapsed="1" x14ac:dyDescent="0.3">
      <c r="A52" s="34"/>
      <c r="B52" s="14" t="str">
        <f>CONCATENATE("     ","Freight out/Postage                               ")</f>
        <v xml:space="preserve">     Freight out/Postage                               </v>
      </c>
      <c r="C52" s="14"/>
      <c r="D52" s="1">
        <f>SUM(OSRRefD21_5x_0)</f>
        <v>2283.8600000000006</v>
      </c>
      <c r="E52" s="1">
        <f>SUM(OSRRefD21_5x_1)</f>
        <v>-20187.95</v>
      </c>
      <c r="F52" s="1">
        <f>SUM(OSRRefD21_5x_2)</f>
        <v>3500.9700000000012</v>
      </c>
      <c r="G52" s="1">
        <f>SUM(OSRRefD21_5x_3)</f>
        <v>-24784.420000000002</v>
      </c>
      <c r="H52" s="1">
        <f>SUM(OSRRefD21_5x_4)</f>
        <v>-3785.619999999999</v>
      </c>
      <c r="I52" s="1">
        <f>SUM(OSRRefD21_5x_5)</f>
        <v>-4174.8600000000006</v>
      </c>
      <c r="J52" s="1">
        <f>SUM(OSRRefE21_5x_0)</f>
        <v>-26500</v>
      </c>
      <c r="K52" s="1">
        <f>SUM(OSRRefE21_5x_1)</f>
        <v>0</v>
      </c>
      <c r="L52" s="1">
        <f>SUM(OSRRefE21_5x_2)</f>
        <v>0</v>
      </c>
      <c r="M52" s="1">
        <f>SUM(OSRRefE21_5x_3)</f>
        <v>-3000</v>
      </c>
      <c r="N52" s="1">
        <f>SUM(OSRRefE21_5x_4)</f>
        <v>-3000</v>
      </c>
      <c r="O52" s="1">
        <f>SUM(OSRRefE21_5x_5)</f>
        <v>-3000</v>
      </c>
      <c r="Q52" s="2">
        <f>SUM(OSRRefD20_5x)+IFERROR(SUM(OSRRefE20_5x),0)</f>
        <v>-82648.02</v>
      </c>
    </row>
    <row r="53" spans="1:17" s="35" customFormat="1" hidden="1" outlineLevel="1" x14ac:dyDescent="0.3">
      <c r="A53" s="34"/>
      <c r="B53" s="10" t="str">
        <f>CONCATENATE("          ","6305", " - ","FREIGHT OUT")</f>
        <v xml:space="preserve">          6305 - FREIGHT OUT</v>
      </c>
      <c r="C53" s="14"/>
      <c r="D53" s="2">
        <v>9911.1200000000008</v>
      </c>
      <c r="E53" s="2">
        <v>4220.1899999999996</v>
      </c>
      <c r="F53" s="2">
        <v>13197.43</v>
      </c>
      <c r="G53" s="2">
        <v>26152.05</v>
      </c>
      <c r="H53" s="2">
        <v>8941.11</v>
      </c>
      <c r="I53" s="2">
        <v>10292.709999999999</v>
      </c>
      <c r="J53" s="2">
        <v>15000</v>
      </c>
      <c r="K53" s="2">
        <v>22000</v>
      </c>
      <c r="L53" s="2">
        <v>6000</v>
      </c>
      <c r="M53" s="2">
        <v>1500</v>
      </c>
      <c r="N53" s="2">
        <v>1500</v>
      </c>
      <c r="O53" s="2">
        <v>1500</v>
      </c>
      <c r="P53" s="9"/>
      <c r="Q53" s="2">
        <f>SUM(OSRRefD21_5_0x)+IFERROR(SUM(OSRRefE21_5_0x),0)</f>
        <v>120214.61</v>
      </c>
    </row>
    <row r="54" spans="1:17" s="35" customFormat="1" hidden="1" outlineLevel="1" x14ac:dyDescent="0.3">
      <c r="A54" s="34"/>
      <c r="B54" s="10" t="str">
        <f>CONCATENATE("          ","6307", " - ","POSTAGE")</f>
        <v xml:space="preserve">          6307 - POSTAGE</v>
      </c>
      <c r="C54" s="14"/>
      <c r="D54" s="2">
        <v>-7627.26</v>
      </c>
      <c r="E54" s="2">
        <v>-24408.14</v>
      </c>
      <c r="F54" s="2">
        <v>-9696.4599999999991</v>
      </c>
      <c r="G54" s="2">
        <v>-50936.47</v>
      </c>
      <c r="H54" s="2">
        <v>-12726.73</v>
      </c>
      <c r="I54" s="2">
        <v>-14467.57</v>
      </c>
      <c r="J54" s="2">
        <v>-41500</v>
      </c>
      <c r="K54" s="2">
        <v>-22000</v>
      </c>
      <c r="L54" s="2">
        <v>-6000</v>
      </c>
      <c r="M54" s="2">
        <v>-4500</v>
      </c>
      <c r="N54" s="2">
        <v>-4500</v>
      </c>
      <c r="O54" s="2">
        <v>-4500</v>
      </c>
      <c r="P54" s="9"/>
      <c r="Q54" s="2">
        <f>SUM(OSRRefD21_5_1x)+IFERROR(SUM(OSRRefE21_5_1x),0)</f>
        <v>-202862.63</v>
      </c>
    </row>
    <row r="55" spans="1:17" s="35" customFormat="1" collapsed="1" x14ac:dyDescent="0.3">
      <c r="A55" s="34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91.31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0</v>
      </c>
      <c r="N55" s="1">
        <f>SUM(OSRRefE21_6x_4)</f>
        <v>0</v>
      </c>
      <c r="O55" s="1">
        <f>SUM(OSRRefE21_6x_5)</f>
        <v>0</v>
      </c>
      <c r="Q55" s="2">
        <f>SUM(OSRRefD20_6x)+IFERROR(SUM(OSRRefE20_6x),0)</f>
        <v>91.31</v>
      </c>
    </row>
    <row r="56" spans="1:17" s="35" customFormat="1" hidden="1" outlineLevel="1" x14ac:dyDescent="0.3">
      <c r="A56" s="34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91.31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SUM(OSRRefD21_6_0x)+IFERROR(SUM(OSRRefE21_6_0x),0)</f>
        <v>91.31</v>
      </c>
    </row>
    <row r="57" spans="1:17" s="35" customFormat="1" collapsed="1" x14ac:dyDescent="0.3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SUM(OSRRefD21_7x_0)</f>
        <v>2345.98</v>
      </c>
      <c r="E57" s="1">
        <f>SUM(OSRRefD21_7x_1)</f>
        <v>1731.54</v>
      </c>
      <c r="F57" s="1">
        <f>SUM(OSRRefD21_7x_2)</f>
        <v>0</v>
      </c>
      <c r="G57" s="1">
        <f>SUM(OSRRefD21_7x_3)</f>
        <v>8307.630000000001</v>
      </c>
      <c r="H57" s="1">
        <f>SUM(OSRRefD21_7x_4)</f>
        <v>142.87</v>
      </c>
      <c r="I57" s="1">
        <f>SUM(OSRRefD21_7x_5)</f>
        <v>700.73</v>
      </c>
      <c r="J57" s="1">
        <f>SUM(OSRRefE21_7x_0)</f>
        <v>5600</v>
      </c>
      <c r="K57" s="1">
        <f>SUM(OSRRefE21_7x_1)</f>
        <v>10000</v>
      </c>
      <c r="L57" s="1">
        <f>SUM(OSRRefE21_7x_2)</f>
        <v>5600</v>
      </c>
      <c r="M57" s="1">
        <f>SUM(OSRRefE21_7x_3)</f>
        <v>5600</v>
      </c>
      <c r="N57" s="1">
        <f>SUM(OSRRefE21_7x_4)</f>
        <v>5600</v>
      </c>
      <c r="O57" s="1">
        <f>SUM(OSRRefE21_7x_5)</f>
        <v>5600</v>
      </c>
      <c r="Q57" s="2">
        <f>SUM(OSRRefD20_7x)+IFERROR(SUM(OSRRefE20_7x),0)</f>
        <v>51228.75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3806.46</v>
      </c>
      <c r="H58" s="2">
        <v>142.87</v>
      </c>
      <c r="I58" s="2">
        <v>700.73</v>
      </c>
      <c r="J58" s="2">
        <v>5600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SUM(OSRRefD21_7_0x)+IFERROR(SUM(OSRRefE21_7_0x),0)</f>
        <v>43331.14</v>
      </c>
    </row>
    <row r="59" spans="1:17" s="35" customFormat="1" hidden="1" outlineLevel="1" x14ac:dyDescent="0.3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>
        <v>4501.17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SUM(OSRRefD21_7_1x)+IFERROR(SUM(OSRRefE21_7_1x),0)</f>
        <v>7897.6100000000006</v>
      </c>
    </row>
    <row r="60" spans="1:17" s="35" customFormat="1" collapsed="1" x14ac:dyDescent="0.3">
      <c r="A60" s="34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SUM(OSRRefD21_8x_3)</f>
        <v>1925.97</v>
      </c>
      <c r="H60" s="1">
        <f>SUM(OSRRefD21_8x_4)</f>
        <v>784.77</v>
      </c>
      <c r="I60" s="1">
        <f>SUM(OSRRefD21_8x_5)</f>
        <v>1121.23</v>
      </c>
      <c r="J60" s="1">
        <f>SUM(OSRRefE21_8x_0)</f>
        <v>10000</v>
      </c>
      <c r="K60" s="1">
        <f>SUM(OSRRefE21_8x_1)</f>
        <v>4000</v>
      </c>
      <c r="L60" s="1">
        <f>SUM(OSRRefE21_8x_2)</f>
        <v>600</v>
      </c>
      <c r="M60" s="1">
        <f>SUM(OSRRefE21_8x_3)</f>
        <v>700</v>
      </c>
      <c r="N60" s="1">
        <f>SUM(OSRRefE21_8x_4)</f>
        <v>6500</v>
      </c>
      <c r="O60" s="1">
        <f>SUM(OSRRefE21_8x_5)</f>
        <v>6500</v>
      </c>
      <c r="Q60" s="2">
        <f>SUM(OSRRefD20_8x)+IFERROR(SUM(OSRRefE20_8x),0)</f>
        <v>33914.14</v>
      </c>
    </row>
    <row r="61" spans="1:17" s="35" customFormat="1" hidden="1" outlineLevel="1" x14ac:dyDescent="0.3">
      <c r="A61" s="34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1925.97</v>
      </c>
      <c r="H61" s="2">
        <v>784.77</v>
      </c>
      <c r="I61" s="2">
        <v>1121.23</v>
      </c>
      <c r="J61" s="2">
        <v>10000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33914.14</v>
      </c>
    </row>
    <row r="62" spans="1:17" s="35" customFormat="1" collapsed="1" x14ac:dyDescent="0.3">
      <c r="A62" s="34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SUM(OSRRefD21_9x_3)</f>
        <v>3516.3199999999997</v>
      </c>
      <c r="H62" s="1">
        <f>SUM(OSRRefD21_9x_4)</f>
        <v>1938.7199999999998</v>
      </c>
      <c r="I62" s="1">
        <f>SUM(OSRRefD21_9x_5)</f>
        <v>3328.09</v>
      </c>
      <c r="J62" s="1">
        <f>SUM(OSRRefE21_9x_0)</f>
        <v>11750</v>
      </c>
      <c r="K62" s="1">
        <f>SUM(OSRRefE21_9x_1)</f>
        <v>5950</v>
      </c>
      <c r="L62" s="1">
        <f>SUM(OSRRefE21_9x_2)</f>
        <v>1350</v>
      </c>
      <c r="M62" s="1">
        <f>SUM(OSRRefE21_9x_3)</f>
        <v>4600</v>
      </c>
      <c r="N62" s="1">
        <f>SUM(OSRRefE21_9x_4)</f>
        <v>5500</v>
      </c>
      <c r="O62" s="1">
        <f>SUM(OSRRefE21_9x_5)</f>
        <v>1350</v>
      </c>
      <c r="Q62" s="2">
        <f>SUM(OSRRefD20_9x)+IFERROR(SUM(OSRRefE20_9x),0)</f>
        <v>52322.240000000005</v>
      </c>
    </row>
    <row r="63" spans="1:17" s="35" customFormat="1" hidden="1" outlineLevel="1" x14ac:dyDescent="0.3">
      <c r="A63" s="34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>
        <v>3.96</v>
      </c>
      <c r="H63" s="2">
        <v>7.16</v>
      </c>
      <c r="I63" s="2">
        <v>9.98</v>
      </c>
      <c r="J63" s="2"/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4952.8499999999995</v>
      </c>
    </row>
    <row r="64" spans="1:17" s="35" customFormat="1" hidden="1" outlineLevel="1" x14ac:dyDescent="0.3">
      <c r="A64" s="34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735.87</v>
      </c>
      <c r="H64" s="2">
        <v>284.11</v>
      </c>
      <c r="I64" s="2"/>
      <c r="J64" s="2">
        <v>7500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24170.9</v>
      </c>
    </row>
    <row r="65" spans="1:17" s="35" customFormat="1" hidden="1" outlineLevel="1" x14ac:dyDescent="0.3">
      <c r="A65" s="34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296.68</v>
      </c>
      <c r="H65" s="2">
        <v>632.28</v>
      </c>
      <c r="I65" s="2">
        <v>812.04</v>
      </c>
      <c r="J65" s="2">
        <v>3750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9331.93</v>
      </c>
    </row>
    <row r="66" spans="1:17" s="35" customFormat="1" hidden="1" outlineLevel="1" x14ac:dyDescent="0.3">
      <c r="A66" s="34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2479.81</v>
      </c>
      <c r="H66" s="2">
        <v>1015.17</v>
      </c>
      <c r="I66" s="2">
        <v>2506.0700000000002</v>
      </c>
      <c r="J66" s="2">
        <v>500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13866.56</v>
      </c>
    </row>
    <row r="67" spans="1:17" s="35" customFormat="1" collapsed="1" x14ac:dyDescent="0.3">
      <c r="A67" s="34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SUM(OSRRefD21_10x_3)</f>
        <v>46.2</v>
      </c>
      <c r="H67" s="1">
        <f>SUM(OSRRefD21_10x_4)</f>
        <v>46.15</v>
      </c>
      <c r="I67" s="1">
        <f>SUM(OSRRefD21_10x_5)</f>
        <v>50.5</v>
      </c>
      <c r="J67" s="1">
        <f>SUM(OSRRefE21_10x_0)</f>
        <v>175</v>
      </c>
      <c r="K67" s="1">
        <f>SUM(OSRRefE21_10x_1)</f>
        <v>175</v>
      </c>
      <c r="L67" s="1">
        <f>SUM(OSRRefE21_10x_2)</f>
        <v>175</v>
      </c>
      <c r="M67" s="1">
        <f>SUM(OSRRefE21_10x_3)</f>
        <v>175</v>
      </c>
      <c r="N67" s="1">
        <f>SUM(OSRRefE21_10x_4)</f>
        <v>175</v>
      </c>
      <c r="O67" s="1">
        <f>SUM(OSRRefE21_10x_5)</f>
        <v>175</v>
      </c>
      <c r="Q67" s="2">
        <f>SUM(OSRRefD20_10x)+IFERROR(SUM(OSRRefE20_10x),0)</f>
        <v>1679.5500000000002</v>
      </c>
    </row>
    <row r="68" spans="1:17" s="35" customFormat="1" hidden="1" outlineLevel="1" x14ac:dyDescent="0.3">
      <c r="A68" s="34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46.2</v>
      </c>
      <c r="H68" s="2">
        <v>46.15</v>
      </c>
      <c r="I68" s="2">
        <v>50.5</v>
      </c>
      <c r="J68" s="2">
        <v>175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1679.5500000000002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E70" si="3">0</f>
        <v>0</v>
      </c>
      <c r="E70" s="3">
        <f t="shared" si="3"/>
        <v>0</v>
      </c>
      <c r="F70" s="3">
        <f>--14899</f>
        <v>14899</v>
      </c>
      <c r="G70" s="3">
        <f t="shared" ref="G70:I70" si="4">0</f>
        <v>0</v>
      </c>
      <c r="H70" s="3">
        <f t="shared" si="4"/>
        <v>0</v>
      </c>
      <c r="I70" s="3">
        <f t="shared" si="4"/>
        <v>0</v>
      </c>
      <c r="J70" s="3"/>
      <c r="K70" s="3"/>
      <c r="L70" s="3"/>
      <c r="M70" s="3"/>
      <c r="N70" s="3"/>
      <c r="O70" s="3"/>
      <c r="Q70" s="2">
        <f>SUM(OSRRefD23_0x)+IFERROR(SUM(OSRRefE23_0x),0)</f>
        <v>14899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5">IFERROR(+D21-D24+D70, 0)</f>
        <v>-35127.08</v>
      </c>
      <c r="E72" s="7">
        <f t="shared" si="5"/>
        <v>38105.460000000006</v>
      </c>
      <c r="F72" s="7">
        <f t="shared" si="5"/>
        <v>-3127.9000000000051</v>
      </c>
      <c r="G72" s="7">
        <f t="shared" si="5"/>
        <v>-13895.08</v>
      </c>
      <c r="H72" s="7">
        <f t="shared" si="5"/>
        <v>-5228.7299999999987</v>
      </c>
      <c r="I72" s="7">
        <f t="shared" si="5"/>
        <v>-9875.0600000000013</v>
      </c>
      <c r="J72" s="7">
        <f t="shared" si="5"/>
        <v>67700.698120480753</v>
      </c>
      <c r="K72" s="7">
        <f t="shared" si="5"/>
        <v>8992.3436763846112</v>
      </c>
      <c r="L72" s="7">
        <f t="shared" si="5"/>
        <v>22613.395024384608</v>
      </c>
      <c r="M72" s="7">
        <f t="shared" si="5"/>
        <v>13046.269044480752</v>
      </c>
      <c r="N72" s="7">
        <f t="shared" si="5"/>
        <v>15963.395024384608</v>
      </c>
      <c r="O72" s="7">
        <f t="shared" si="5"/>
        <v>-18689.503919615392</v>
      </c>
      <c r="Q72" s="7">
        <f>IFERROR(+Q21-Q24+Q70, 0)</f>
        <v>80478.206970499945</v>
      </c>
    </row>
    <row r="73" spans="1:17" s="6" customFormat="1" x14ac:dyDescent="0.3">
      <c r="B73" s="16"/>
      <c r="C73" s="16"/>
      <c r="D73" s="4">
        <f t="shared" ref="D73:O73" si="6">IFERROR(D72/D10, 0)</f>
        <v>-13.874350264633859</v>
      </c>
      <c r="E73" s="4">
        <f t="shared" si="6"/>
        <v>0.68113736143030512</v>
      </c>
      <c r="F73" s="4">
        <f t="shared" si="6"/>
        <v>-0.18914658179792992</v>
      </c>
      <c r="G73" s="4">
        <f t="shared" si="6"/>
        <v>-1.4768975020965553</v>
      </c>
      <c r="H73" s="4">
        <f t="shared" si="6"/>
        <v>-0.77027546614457865</v>
      </c>
      <c r="I73" s="4">
        <f t="shared" si="6"/>
        <v>-1.2742489718970131</v>
      </c>
      <c r="J73" s="4">
        <f t="shared" si="6"/>
        <v>0.76068200135371633</v>
      </c>
      <c r="K73" s="4">
        <f t="shared" si="6"/>
        <v>0.19296874842027062</v>
      </c>
      <c r="L73" s="4">
        <f t="shared" si="6"/>
        <v>0.48526598764773837</v>
      </c>
      <c r="M73" s="4">
        <f t="shared" si="6"/>
        <v>0.32615672611201879</v>
      </c>
      <c r="N73" s="4">
        <f t="shared" si="6"/>
        <v>0.339646702646481</v>
      </c>
      <c r="O73" s="4">
        <f t="shared" si="6"/>
        <v>-3.3374114142170344</v>
      </c>
      <c r="P73" s="18"/>
      <c r="Q73" s="4">
        <f>IFERROR(Q72/Q10, 0)</f>
        <v>0.21532128835338701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473.63</v>
      </c>
      <c r="H75" s="3">
        <v>1105.7</v>
      </c>
      <c r="I75" s="3">
        <v>1047.68</v>
      </c>
      <c r="J75" s="3">
        <v>10604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40964.740000000005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7">IFERROR(+D72-D75, 0)</f>
        <v>-36296.76</v>
      </c>
      <c r="E77" s="8">
        <f t="shared" si="7"/>
        <v>30536.940000000006</v>
      </c>
      <c r="F77" s="8">
        <f t="shared" si="7"/>
        <v>-3674.4300000000048</v>
      </c>
      <c r="G77" s="8">
        <f t="shared" si="7"/>
        <v>-14368.71</v>
      </c>
      <c r="H77" s="8">
        <f t="shared" si="7"/>
        <v>-6334.4299999999985</v>
      </c>
      <c r="I77" s="8">
        <f t="shared" si="7"/>
        <v>-10922.740000000002</v>
      </c>
      <c r="J77" s="8">
        <f t="shared" si="7"/>
        <v>57096.698120480753</v>
      </c>
      <c r="K77" s="8">
        <f t="shared" si="7"/>
        <v>3966.3436763846112</v>
      </c>
      <c r="L77" s="8">
        <f t="shared" si="7"/>
        <v>17062.395024384608</v>
      </c>
      <c r="M77" s="8">
        <f t="shared" si="7"/>
        <v>7739.2690444807522</v>
      </c>
      <c r="N77" s="8">
        <f t="shared" si="7"/>
        <v>9802.3950243846084</v>
      </c>
      <c r="O77" s="8">
        <f t="shared" si="7"/>
        <v>-15093.503919615392</v>
      </c>
      <c r="Q77" s="8">
        <f>IFERROR(+Q72-Q75, 0)</f>
        <v>39513.46697049994</v>
      </c>
    </row>
    <row r="78" spans="1:17" ht="15" thickTop="1" x14ac:dyDescent="0.3">
      <c r="A78" s="5"/>
      <c r="B78" s="5"/>
      <c r="C78" s="5"/>
      <c r="D78" s="4">
        <f t="shared" ref="D78:O78" si="8">IFERROR(D77/D10, 0)</f>
        <v>-14.336345682913345</v>
      </c>
      <c r="E78" s="4">
        <f t="shared" si="8"/>
        <v>0.54584961676766386</v>
      </c>
      <c r="F78" s="4">
        <f t="shared" si="8"/>
        <v>-0.22219568226470393</v>
      </c>
      <c r="G78" s="4">
        <f t="shared" si="8"/>
        <v>-1.5272392751498944</v>
      </c>
      <c r="H78" s="4">
        <f t="shared" si="8"/>
        <v>-0.9331627414324708</v>
      </c>
      <c r="I78" s="4">
        <f t="shared" si="8"/>
        <v>-1.4094385467327168</v>
      </c>
      <c r="J78" s="4">
        <f t="shared" si="8"/>
        <v>0.64153593393798602</v>
      </c>
      <c r="K78" s="4">
        <f t="shared" si="8"/>
        <v>8.5114671167051736E-2</v>
      </c>
      <c r="L78" s="4">
        <f t="shared" si="8"/>
        <v>0.36614581597391865</v>
      </c>
      <c r="M78" s="4">
        <f t="shared" si="8"/>
        <v>0.1934817261120188</v>
      </c>
      <c r="N78" s="4">
        <f t="shared" si="8"/>
        <v>0.20856159626350232</v>
      </c>
      <c r="O78" s="4">
        <f t="shared" si="8"/>
        <v>-2.695268557074177</v>
      </c>
      <c r="P78" s="18"/>
      <c r="Q78" s="4">
        <f>IFERROR(Q77/Q10, 0)</f>
        <v>0.1057191870404838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9">IFERROR(SUM(D77:D80), 0)</f>
        <v>-36311.096345682912</v>
      </c>
      <c r="E81" s="8">
        <f t="shared" si="9"/>
        <v>30537.485849616773</v>
      </c>
      <c r="F81" s="8">
        <f t="shared" si="9"/>
        <v>-3674.6521956822694</v>
      </c>
      <c r="G81" s="8">
        <f t="shared" si="9"/>
        <v>-14370.237239275149</v>
      </c>
      <c r="H81" s="8">
        <f t="shared" si="9"/>
        <v>-6335.3631627414306</v>
      </c>
      <c r="I81" s="8">
        <f t="shared" si="9"/>
        <v>-10924.149438546734</v>
      </c>
      <c r="J81" s="8">
        <f t="shared" si="9"/>
        <v>57097.33965641469</v>
      </c>
      <c r="K81" s="8">
        <f t="shared" si="9"/>
        <v>3966.4287910557782</v>
      </c>
      <c r="L81" s="8">
        <f t="shared" si="9"/>
        <v>17062.761170200582</v>
      </c>
      <c r="M81" s="8">
        <f t="shared" si="9"/>
        <v>7739.4625262068639</v>
      </c>
      <c r="N81" s="8">
        <f t="shared" si="9"/>
        <v>9802.6035859808726</v>
      </c>
      <c r="O81" s="8">
        <f t="shared" si="9"/>
        <v>-15096.199188172466</v>
      </c>
      <c r="Q81" s="8">
        <f>IFERROR(SUM(Q77:Q80), 0)</f>
        <v>39513.572689686982</v>
      </c>
    </row>
    <row r="82" spans="1:17" ht="15" thickTop="1" x14ac:dyDescent="0.3">
      <c r="A82" s="5"/>
      <c r="C82" s="5"/>
      <c r="D82" s="4">
        <f t="shared" ref="D82:O82" si="10">IFERROR(D81/D10, 0)</f>
        <v>-14.342008194044915</v>
      </c>
      <c r="E82" s="4">
        <f t="shared" si="10"/>
        <v>0.54585937386199368</v>
      </c>
      <c r="F82" s="4">
        <f t="shared" si="10"/>
        <v>-0.2222091186129857</v>
      </c>
      <c r="G82" s="4">
        <f t="shared" si="10"/>
        <v>-1.527401604252755</v>
      </c>
      <c r="H82" s="4">
        <f t="shared" si="10"/>
        <v>-0.93330021121301898</v>
      </c>
      <c r="I82" s="4">
        <f t="shared" si="10"/>
        <v>-1.409620416576457</v>
      </c>
      <c r="J82" s="4">
        <f t="shared" si="10"/>
        <v>0.64154314220690667</v>
      </c>
      <c r="K82" s="4">
        <f t="shared" si="10"/>
        <v>8.5116497662141161E-2</v>
      </c>
      <c r="L82" s="4">
        <f t="shared" si="10"/>
        <v>0.36615367318026998</v>
      </c>
      <c r="M82" s="4">
        <f t="shared" si="10"/>
        <v>0.1934865631551716</v>
      </c>
      <c r="N82" s="4">
        <f t="shared" si="10"/>
        <v>0.20856603374427388</v>
      </c>
      <c r="O82" s="4">
        <f t="shared" si="10"/>
        <v>-2.6957498550307974</v>
      </c>
      <c r="P82" s="18"/>
      <c r="Q82" s="4">
        <f>IFERROR(Q81/Q10, 0)</f>
        <v>0.10571946989459319</v>
      </c>
    </row>
    <row r="83" spans="1:17" x14ac:dyDescent="0.3">
      <c r="A83" s="5"/>
      <c r="B83" s="28">
        <v>44575.850634722221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26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3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","316", " - ", "Campus Copy Center")</f>
        <v>Department 316 - Campus Copy Center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SUM(OSRRefD11x_4)</f>
        <v>6788.13</v>
      </c>
      <c r="I10" s="3">
        <f>SUM(OSRRefD11x_5)</f>
        <v>7749.7099999999991</v>
      </c>
      <c r="J10" s="3">
        <f>SUM(OSRRefE11x_0)</f>
        <v>89000</v>
      </c>
      <c r="K10" s="3">
        <f>SUM(OSRRefE11x_1)</f>
        <v>46600</v>
      </c>
      <c r="L10" s="3">
        <f>SUM(OSRRefE11x_2)</f>
        <v>46600</v>
      </c>
      <c r="M10" s="3">
        <f>SUM(OSRRefE11x_3)</f>
        <v>40000</v>
      </c>
      <c r="N10" s="3">
        <f>SUM(OSRRefE11x_4)</f>
        <v>47000</v>
      </c>
      <c r="O10" s="3">
        <f>SUM(OSRRefE11x_5)</f>
        <v>5600</v>
      </c>
      <c r="P10" s="24"/>
      <c r="Q10" s="3">
        <f>SUM(OSRRefG11x)</f>
        <v>373758.70999999996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f>--3447.29</f>
        <v>3447.29</v>
      </c>
      <c r="I11" s="2">
        <f>--4665.65</f>
        <v>4665.6499999999996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214677.18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f>--3340.84</f>
        <v>3340.84</v>
      </c>
      <c r="I12" s="2">
        <f>--3084.06</f>
        <v>3084.06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159484.53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I15" si="0">0</f>
        <v>0</v>
      </c>
      <c r="I13" s="2">
        <f t="shared" si="0"/>
        <v>0</v>
      </c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>
        <f t="shared" si="0"/>
        <v>0</v>
      </c>
      <c r="I15" s="2">
        <f t="shared" si="0"/>
        <v>0</v>
      </c>
      <c r="J15" s="2"/>
      <c r="K15" s="2"/>
      <c r="L15" s="2"/>
      <c r="M15" s="2"/>
      <c r="N15" s="2"/>
      <c r="O15" s="2"/>
      <c r="Q15" s="2">
        <f>SUM(OSRRefD11_4x)+IFERROR(SUM(OSRRefE11_4x),0)</f>
        <v>-403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SUM(OSRRefD14x_4)</f>
        <v>8.26</v>
      </c>
      <c r="I17" s="3">
        <f>SUM(OSRRefD14x_5)</f>
        <v>0</v>
      </c>
      <c r="J17" s="3">
        <f>SUM(OSRRefE14x_0)</f>
        <v>0</v>
      </c>
      <c r="K17" s="3">
        <f>SUM(OSRRefE14x_1)</f>
        <v>0</v>
      </c>
      <c r="L17" s="3">
        <f>SUM(OSRRefE14x_2)</f>
        <v>0</v>
      </c>
      <c r="M17" s="3">
        <f>SUM(OSRRefE14x_3)</f>
        <v>0</v>
      </c>
      <c r="N17" s="3">
        <f>SUM(OSRRefE14x_4)</f>
        <v>0</v>
      </c>
      <c r="O17" s="3">
        <f>SUM(OSRRefE14x_5)</f>
        <v>0</v>
      </c>
      <c r="Q17" s="3">
        <f>SUM(OSRRefG14x)</f>
        <v>8.26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/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s="9" customFormat="1" hidden="1" outlineLevel="1" x14ac:dyDescent="0.3">
      <c r="A19" s="23"/>
      <c r="B19" s="10" t="str">
        <f>CONCATENATE("          ","5500", " - ","FREIGHT-IN")</f>
        <v xml:space="preserve">          5500 - FREIGHT-IN</v>
      </c>
      <c r="C19" s="22"/>
      <c r="D19" s="2"/>
      <c r="E19" s="2"/>
      <c r="F19" s="2"/>
      <c r="G19" s="2"/>
      <c r="H19" s="2">
        <v>8.26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8.26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IFERROR(+D10-D17, 0)</f>
        <v>2531.7999999999997</v>
      </c>
      <c r="E21" s="7">
        <f t="shared" si="1"/>
        <v>55943.87</v>
      </c>
      <c r="F21" s="7">
        <f t="shared" si="1"/>
        <v>16536.91</v>
      </c>
      <c r="G21" s="7">
        <f t="shared" si="1"/>
        <v>9408.2899999999991</v>
      </c>
      <c r="H21" s="7">
        <f t="shared" si="1"/>
        <v>6779.87</v>
      </c>
      <c r="I21" s="7">
        <f t="shared" si="1"/>
        <v>7749.7099999999991</v>
      </c>
      <c r="J21" s="7">
        <f t="shared" si="1"/>
        <v>89000</v>
      </c>
      <c r="K21" s="7">
        <f t="shared" si="1"/>
        <v>46600</v>
      </c>
      <c r="L21" s="7">
        <f t="shared" si="1"/>
        <v>46600</v>
      </c>
      <c r="M21" s="7">
        <f t="shared" si="1"/>
        <v>40000</v>
      </c>
      <c r="N21" s="7">
        <f t="shared" si="1"/>
        <v>47000</v>
      </c>
      <c r="O21" s="7">
        <f t="shared" si="1"/>
        <v>5600</v>
      </c>
      <c r="Q21" s="7">
        <f>IFERROR(+Q10-Q17, 0)</f>
        <v>373750.44999999995</v>
      </c>
    </row>
    <row r="22" spans="1:17" s="6" customFormat="1" x14ac:dyDescent="0.3">
      <c r="B22" s="16"/>
      <c r="C22" s="16"/>
      <c r="D22" s="4">
        <f t="shared" ref="D22:O22" si="2">IFERROR(D21/D10, 0)</f>
        <v>1</v>
      </c>
      <c r="E22" s="4">
        <f t="shared" si="2"/>
        <v>1</v>
      </c>
      <c r="F22" s="4">
        <f t="shared" si="2"/>
        <v>1</v>
      </c>
      <c r="G22" s="4">
        <f t="shared" si="2"/>
        <v>1</v>
      </c>
      <c r="H22" s="4">
        <f t="shared" si="2"/>
        <v>0.99878317003357331</v>
      </c>
      <c r="I22" s="4">
        <f t="shared" si="2"/>
        <v>1</v>
      </c>
      <c r="J22" s="4">
        <f t="shared" si="2"/>
        <v>1</v>
      </c>
      <c r="K22" s="4">
        <f t="shared" si="2"/>
        <v>1</v>
      </c>
      <c r="L22" s="4">
        <f t="shared" si="2"/>
        <v>1</v>
      </c>
      <c r="M22" s="4">
        <f t="shared" si="2"/>
        <v>1</v>
      </c>
      <c r="N22" s="4">
        <f t="shared" si="2"/>
        <v>1</v>
      </c>
      <c r="O22" s="4">
        <f t="shared" si="2"/>
        <v>1</v>
      </c>
      <c r="P22" s="18"/>
      <c r="Q22" s="4">
        <f>IFERROR(Q21/Q10, 0)</f>
        <v>0.99997790018057364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37658.880000000005</v>
      </c>
      <c r="E24" s="12">
        <f>SUM(OSRRefD20x_1)</f>
        <v>17838.41</v>
      </c>
      <c r="F24" s="12">
        <f>SUM(OSRRefD20x_2)</f>
        <v>34563.810000000005</v>
      </c>
      <c r="G24" s="12">
        <f>SUM(OSRRefD20x_3)</f>
        <v>23303.37</v>
      </c>
      <c r="H24" s="12">
        <f>SUM(OSRRefD20x_4)</f>
        <v>12008.599999999999</v>
      </c>
      <c r="I24" s="12">
        <f>SUM(OSRRefD20x_5)</f>
        <v>17624.77</v>
      </c>
      <c r="J24" s="12">
        <f>SUM(OSRRefE20x_0)</f>
        <v>21299.301879519251</v>
      </c>
      <c r="K24" s="12">
        <f>SUM(OSRRefE20x_1)</f>
        <v>37607.656323615389</v>
      </c>
      <c r="L24" s="12">
        <f>SUM(OSRRefE20x_2)</f>
        <v>23986.604975615392</v>
      </c>
      <c r="M24" s="12">
        <f>SUM(OSRRefE20x_3)</f>
        <v>26953.730955519248</v>
      </c>
      <c r="N24" s="12">
        <f>SUM(OSRRefE20x_4)</f>
        <v>31036.604975615392</v>
      </c>
      <c r="O24" s="12">
        <f>SUM(OSRRefE20x_5)</f>
        <v>24289.503919615392</v>
      </c>
      <c r="Q24" s="12">
        <f>SUM(OSRRefG20x)</f>
        <v>308171.24302950001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8921.32</v>
      </c>
      <c r="E25" s="1">
        <f>SUM(OSRRefD21_0x_1)</f>
        <v>9174.36</v>
      </c>
      <c r="F25" s="1">
        <f>SUM(OSRRefD21_0x_2)</f>
        <v>8204.0700000000015</v>
      </c>
      <c r="G25" s="1">
        <f>SUM(OSRRefD21_0x_3)</f>
        <v>10120.960000000001</v>
      </c>
      <c r="H25" s="1">
        <f>SUM(OSRRefD21_0x_4)</f>
        <v>11414.57</v>
      </c>
      <c r="I25" s="1">
        <f>SUM(OSRRefD21_0x_5)</f>
        <v>4512.1400000000003</v>
      </c>
      <c r="J25" s="1">
        <f>SUM(OSRRefE21_0x_0)</f>
        <v>5208.6216872115401</v>
      </c>
      <c r="K25" s="1">
        <f>SUM(OSRRefE21_0x_1)</f>
        <v>4568.4361697692329</v>
      </c>
      <c r="L25" s="1">
        <f>SUM(OSRRefE21_0x_2)</f>
        <v>4438.2928217692333</v>
      </c>
      <c r="M25" s="1">
        <f>SUM(OSRRefE21_0x_3)</f>
        <v>5059.6947632115398</v>
      </c>
      <c r="N25" s="1">
        <f>SUM(OSRRefE21_0x_4)</f>
        <v>4438.2928217692333</v>
      </c>
      <c r="O25" s="1">
        <f>SUM(OSRRefE21_0x_5)</f>
        <v>4161.6077657692331</v>
      </c>
      <c r="Q25" s="2">
        <f>SUM(OSRRefD20_0x)+IFERROR(SUM(OSRRefE20_0x),0)</f>
        <v>80222.366029500015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1247.51</v>
      </c>
      <c r="E26" s="2">
        <v>1387.4</v>
      </c>
      <c r="F26" s="2">
        <v>1244.83</v>
      </c>
      <c r="G26" s="2">
        <v>1811.85</v>
      </c>
      <c r="H26" s="2">
        <v>2780.09</v>
      </c>
      <c r="I26" s="2">
        <v>690.61</v>
      </c>
      <c r="J26" s="2">
        <v>1110.7071170192301</v>
      </c>
      <c r="K26" s="2">
        <v>929.43271361538496</v>
      </c>
      <c r="L26" s="2">
        <v>849.25988561538497</v>
      </c>
      <c r="M26" s="2">
        <v>1018.96295301923</v>
      </c>
      <c r="N26" s="2">
        <v>849.25988561538497</v>
      </c>
      <c r="O26" s="2">
        <v>678.81226961538505</v>
      </c>
      <c r="P26" s="9"/>
      <c r="Q26" s="2">
        <f>SUM(OSRRefD21_0_0x)+IFERROR(SUM(OSRRefE21_0_0x),0)</f>
        <v>14598.724824500001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251.73</v>
      </c>
      <c r="E27" s="2">
        <v>285</v>
      </c>
      <c r="F27" s="2">
        <v>291.74</v>
      </c>
      <c r="G27" s="2">
        <v>441.7</v>
      </c>
      <c r="H27" s="2">
        <v>567.87</v>
      </c>
      <c r="I27" s="2">
        <v>172.02</v>
      </c>
      <c r="J27" s="2">
        <v>226.40835000000001</v>
      </c>
      <c r="K27" s="2">
        <v>189.45707999999999</v>
      </c>
      <c r="L27" s="2">
        <v>173.11452</v>
      </c>
      <c r="M27" s="2">
        <v>207.70706999999999</v>
      </c>
      <c r="N27" s="2">
        <v>173.11452</v>
      </c>
      <c r="O27" s="2">
        <v>138.37020000000001</v>
      </c>
      <c r="P27" s="9"/>
      <c r="Q27" s="2">
        <f>SUM(OSRRefD21_0_1x)+IFERROR(SUM(OSRRefE21_0_1x),0)</f>
        <v>3118.2317400000002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3410.23</v>
      </c>
      <c r="E28" s="2">
        <v>3410.23</v>
      </c>
      <c r="F28" s="2">
        <v>3443.98</v>
      </c>
      <c r="G28" s="2">
        <v>3410.23</v>
      </c>
      <c r="H28" s="2">
        <v>2817.93</v>
      </c>
      <c r="I28" s="2">
        <v>1393.42</v>
      </c>
      <c r="J28" s="2">
        <v>1326</v>
      </c>
      <c r="K28" s="2">
        <v>1326</v>
      </c>
      <c r="L28" s="2">
        <v>1326</v>
      </c>
      <c r="M28" s="2">
        <v>1326</v>
      </c>
      <c r="N28" s="2">
        <v>1326</v>
      </c>
      <c r="O28" s="2">
        <v>1326</v>
      </c>
      <c r="P28" s="9"/>
      <c r="Q28" s="2">
        <f>SUM(OSRRefD21_0_2x)+IFERROR(SUM(OSRRefE21_0_2x),0)</f>
        <v>25842.019999999997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44.22</v>
      </c>
      <c r="E29" s="2">
        <v>50.07</v>
      </c>
      <c r="F29" s="2">
        <v>51.25</v>
      </c>
      <c r="G29" s="2">
        <v>77.599999999999994</v>
      </c>
      <c r="H29" s="2">
        <v>99.76</v>
      </c>
      <c r="I29" s="2">
        <v>30.22</v>
      </c>
      <c r="J29" s="2">
        <v>30.478047115384602</v>
      </c>
      <c r="K29" s="2">
        <v>25.503837692307702</v>
      </c>
      <c r="L29" s="2">
        <v>23.303877692307701</v>
      </c>
      <c r="M29" s="2">
        <v>27.960567115384599</v>
      </c>
      <c r="N29" s="2">
        <v>23.303877692307701</v>
      </c>
      <c r="O29" s="2">
        <v>18.626757692307699</v>
      </c>
      <c r="P29" s="9"/>
      <c r="Q29" s="2">
        <f>SUM(OSRRefD21_0_3x)+IFERROR(SUM(OSRRefE21_0_3x),0)</f>
        <v>502.296965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1590.79</v>
      </c>
      <c r="E30" s="2">
        <v>1590.79</v>
      </c>
      <c r="F30" s="2">
        <v>1590.79</v>
      </c>
      <c r="G30" s="2">
        <v>2386.1799999999998</v>
      </c>
      <c r="H30" s="2">
        <v>3677.36</v>
      </c>
      <c r="I30" s="2">
        <v>810.13</v>
      </c>
      <c r="J30" s="2">
        <v>953.51259615384697</v>
      </c>
      <c r="K30" s="2">
        <v>762.81007692307799</v>
      </c>
      <c r="L30" s="2">
        <v>762.81007692307799</v>
      </c>
      <c r="M30" s="2">
        <v>953.51259615384697</v>
      </c>
      <c r="N30" s="2">
        <v>762.81007692307799</v>
      </c>
      <c r="O30" s="2">
        <v>762.81007692307799</v>
      </c>
      <c r="P30" s="9"/>
      <c r="Q30" s="2">
        <f>SUM(OSRRefD21_0_4x)+IFERROR(SUM(OSRRefE21_0_4x),0)</f>
        <v>16604.305500000006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1216.0999999999999</v>
      </c>
      <c r="E32" s="2">
        <v>1216.0999999999999</v>
      </c>
      <c r="F32" s="2">
        <v>697.52</v>
      </c>
      <c r="G32" s="2">
        <v>834.2</v>
      </c>
      <c r="H32" s="2">
        <v>639.32000000000005</v>
      </c>
      <c r="I32" s="2">
        <v>639.32000000000005</v>
      </c>
      <c r="J32" s="2">
        <v>776.11490384615502</v>
      </c>
      <c r="K32" s="2">
        <v>620.89192307692304</v>
      </c>
      <c r="L32" s="2">
        <v>620.89192307692304</v>
      </c>
      <c r="M32" s="2">
        <v>776.11490384615502</v>
      </c>
      <c r="N32" s="2">
        <v>620.89192307692304</v>
      </c>
      <c r="O32" s="2">
        <v>620.89192307692304</v>
      </c>
      <c r="P32" s="9"/>
      <c r="Q32" s="2">
        <f>SUM(OSRRefD21_0_6x)+IFERROR(SUM(OSRRefE21_0_6x),0)</f>
        <v>9278.3575000000019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738.5</v>
      </c>
      <c r="E33" s="2">
        <v>738.5</v>
      </c>
      <c r="F33" s="2">
        <v>566.41999999999996</v>
      </c>
      <c r="G33" s="2">
        <v>591.51</v>
      </c>
      <c r="H33" s="2">
        <v>410.1</v>
      </c>
      <c r="I33" s="2">
        <v>410.1</v>
      </c>
      <c r="J33" s="2">
        <v>435.400673076923</v>
      </c>
      <c r="K33" s="2">
        <v>364.34053846153898</v>
      </c>
      <c r="L33" s="2">
        <v>332.91253846153899</v>
      </c>
      <c r="M33" s="2">
        <v>399.436673076923</v>
      </c>
      <c r="N33" s="2">
        <v>332.91253846153899</v>
      </c>
      <c r="O33" s="2">
        <v>266.09653846153901</v>
      </c>
      <c r="P33" s="9"/>
      <c r="Q33" s="2">
        <f>SUM(OSRRefD21_0_7x)+IFERROR(SUM(OSRRefE21_0_7x),0)</f>
        <v>5586.2295000000022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422.24</v>
      </c>
      <c r="E34" s="2">
        <v>496.27</v>
      </c>
      <c r="F34" s="2">
        <v>317.54000000000002</v>
      </c>
      <c r="G34" s="2">
        <v>567.69000000000005</v>
      </c>
      <c r="H34" s="2">
        <v>422.14</v>
      </c>
      <c r="I34" s="2">
        <v>366.32</v>
      </c>
      <c r="J34" s="2">
        <v>350</v>
      </c>
      <c r="K34" s="2">
        <v>350</v>
      </c>
      <c r="L34" s="2">
        <v>350</v>
      </c>
      <c r="M34" s="2">
        <v>350</v>
      </c>
      <c r="N34" s="2">
        <v>350</v>
      </c>
      <c r="O34" s="2">
        <v>350</v>
      </c>
      <c r="P34" s="9"/>
      <c r="Q34" s="2">
        <f>SUM(OSRRefD21_0_8x)+IFERROR(SUM(OSRRefE21_0_8x),0)</f>
        <v>4692.2000000000007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19441.55</v>
      </c>
      <c r="E35" s="1">
        <f>SUM(OSRRefD21_1x_1)</f>
        <v>17940.689999999999</v>
      </c>
      <c r="F35" s="1">
        <f>SUM(OSRRefD21_1x_2)</f>
        <v>17178.86</v>
      </c>
      <c r="G35" s="1">
        <f>SUM(OSRRefD21_1x_3)</f>
        <v>22697.439999999999</v>
      </c>
      <c r="H35" s="1">
        <f>SUM(OSRRefD21_1x_4)</f>
        <v>91.619999999999891</v>
      </c>
      <c r="I35" s="1">
        <f>SUM(OSRRefD21_1x_5)</f>
        <v>10711.42</v>
      </c>
      <c r="J35" s="1">
        <f>SUM(OSRRefE21_1x_0)</f>
        <v>13545.680192307711</v>
      </c>
      <c r="K35" s="1">
        <f>SUM(OSRRefE21_1x_1)</f>
        <v>11394.22015384616</v>
      </c>
      <c r="L35" s="1">
        <f>SUM(OSRRefE21_1x_2)</f>
        <v>10303.312153846158</v>
      </c>
      <c r="M35" s="1">
        <f>SUM(OSRRefE21_1x_3)</f>
        <v>12299.036192307709</v>
      </c>
      <c r="N35" s="1">
        <f>SUM(OSRRefE21_1x_4)</f>
        <v>10303.312153846158</v>
      </c>
      <c r="O35" s="1">
        <f>SUM(OSRRefE21_1x_5)</f>
        <v>7982.8961538461599</v>
      </c>
      <c r="Q35" s="2">
        <f>SUM(OSRRefD20_1x)+IFERROR(SUM(OSRRefE20_1x),0)</f>
        <v>153890.03700000004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18934.05</v>
      </c>
      <c r="E37" s="2">
        <v>15332.57</v>
      </c>
      <c r="F37" s="2">
        <v>14552.52</v>
      </c>
      <c r="G37" s="2">
        <v>19378.57</v>
      </c>
      <c r="H37" s="2">
        <v>-1936.7</v>
      </c>
      <c r="I37" s="2">
        <v>7763.16</v>
      </c>
      <c r="J37" s="2">
        <v>9978.6201923077097</v>
      </c>
      <c r="K37" s="2">
        <v>7982.8961538461599</v>
      </c>
      <c r="L37" s="2">
        <v>7982.8961538461599</v>
      </c>
      <c r="M37" s="2">
        <v>9978.6201923077097</v>
      </c>
      <c r="N37" s="2">
        <v>7982.8961538461599</v>
      </c>
      <c r="O37" s="2">
        <v>7982.8961538461599</v>
      </c>
      <c r="P37" s="9"/>
      <c r="Q37" s="2">
        <f>SUM(OSRRefD21_1_1x)+IFERROR(SUM(OSRRefE21_1_1x),0)</f>
        <v>125912.99500000005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/>
      <c r="I39" s="2"/>
      <c r="J39" s="2">
        <v>2009.7</v>
      </c>
      <c r="K39" s="2">
        <v>2009.7</v>
      </c>
      <c r="L39" s="2">
        <v>1386</v>
      </c>
      <c r="M39" s="2">
        <v>1386</v>
      </c>
      <c r="N39" s="2">
        <v>1386</v>
      </c>
      <c r="O39" s="2">
        <v>0</v>
      </c>
      <c r="P39" s="9"/>
      <c r="Q39" s="2">
        <f>SUM(OSRRefD21_1_3x)+IFERROR(SUM(OSRRefE21_1_3x),0)</f>
        <v>8177.4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0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507.5</v>
      </c>
      <c r="E42" s="2">
        <v>2608.12</v>
      </c>
      <c r="F42" s="2">
        <v>2626.34</v>
      </c>
      <c r="G42" s="2">
        <v>3318.87</v>
      </c>
      <c r="H42" s="2">
        <v>2028.32</v>
      </c>
      <c r="I42" s="2">
        <v>2948.26</v>
      </c>
      <c r="J42" s="2">
        <v>1557.36</v>
      </c>
      <c r="K42" s="2">
        <v>1401.624</v>
      </c>
      <c r="L42" s="2">
        <v>934.41600000000005</v>
      </c>
      <c r="M42" s="2">
        <v>934.41600000000005</v>
      </c>
      <c r="N42" s="2">
        <v>934.41600000000005</v>
      </c>
      <c r="O42" s="2">
        <v>0</v>
      </c>
      <c r="P42" s="9"/>
      <c r="Q42" s="2">
        <f>SUM(OSRRefD21_1_6x)+IFERROR(SUM(OSRRefE21_1_6x),0)</f>
        <v>19799.642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97.75</v>
      </c>
      <c r="H46" s="1">
        <f>SUM(OSRRefD21_2x_4)</f>
        <v>0</v>
      </c>
      <c r="I46" s="1">
        <f>SUM(OSRRefD21_2x_5)</f>
        <v>0</v>
      </c>
      <c r="J46" s="1">
        <f>SUM(OSRRefE21_2x_0)</f>
        <v>50</v>
      </c>
      <c r="K46" s="1">
        <f>SUM(OSRRefE21_2x_1)</f>
        <v>50</v>
      </c>
      <c r="L46" s="1">
        <f>SUM(OSRRefE21_2x_2)</f>
        <v>50</v>
      </c>
      <c r="M46" s="1">
        <f>SUM(OSRRefE21_2x_3)</f>
        <v>50</v>
      </c>
      <c r="N46" s="1">
        <f>SUM(OSRRefE21_2x_4)</f>
        <v>50</v>
      </c>
      <c r="O46" s="1">
        <f>SUM(OSRRefE21_2x_5)</f>
        <v>50</v>
      </c>
      <c r="Q46" s="2">
        <f>SUM(OSRRefD20_2x)+IFERROR(SUM(OSRRefE20_2x),0)</f>
        <v>397.75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/>
      <c r="E47" s="2"/>
      <c r="F47" s="2"/>
      <c r="G47" s="2">
        <v>97.75</v>
      </c>
      <c r="H47" s="2"/>
      <c r="I47" s="2"/>
      <c r="J47" s="2">
        <v>50</v>
      </c>
      <c r="K47" s="2">
        <v>50</v>
      </c>
      <c r="L47" s="2">
        <v>50</v>
      </c>
      <c r="M47" s="2">
        <v>50</v>
      </c>
      <c r="N47" s="2">
        <v>50</v>
      </c>
      <c r="O47" s="2">
        <v>50</v>
      </c>
      <c r="P47" s="9"/>
      <c r="Q47" s="2">
        <f>SUM(OSRRefD21_2_0x)+IFERROR(SUM(OSRRefE21_2_0x),0)</f>
        <v>397.75</v>
      </c>
    </row>
    <row r="48" spans="1:17" s="35" customFormat="1" collapsed="1" x14ac:dyDescent="0.3">
      <c r="A48" s="34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SUM(OSRRefD21_3x_0)</f>
        <v>169.88</v>
      </c>
      <c r="E48" s="1">
        <f>SUM(OSRRefD21_3x_1)</f>
        <v>169.88</v>
      </c>
      <c r="F48" s="1">
        <f>SUM(OSRRefD21_3x_2)</f>
        <v>169.88</v>
      </c>
      <c r="G48" s="1">
        <f>SUM(OSRRefD21_3x_3)</f>
        <v>169.88</v>
      </c>
      <c r="H48" s="1">
        <f>SUM(OSRRefD21_3x_4)</f>
        <v>169.88</v>
      </c>
      <c r="I48" s="1">
        <f>SUM(OSRRefD21_3x_5)</f>
        <v>169.88</v>
      </c>
      <c r="J48" s="1">
        <f>SUM(OSRRefE21_3x_0)</f>
        <v>170</v>
      </c>
      <c r="K48" s="1">
        <f>SUM(OSRRefE21_3x_1)</f>
        <v>170</v>
      </c>
      <c r="L48" s="1">
        <f>SUM(OSRRefE21_3x_2)</f>
        <v>170</v>
      </c>
      <c r="M48" s="1">
        <f>SUM(OSRRefE21_3x_3)</f>
        <v>170</v>
      </c>
      <c r="N48" s="1">
        <f>SUM(OSRRefE21_3x_4)</f>
        <v>170</v>
      </c>
      <c r="O48" s="1">
        <f>SUM(OSRRefE21_3x_5)</f>
        <v>170</v>
      </c>
      <c r="Q48" s="2">
        <f>SUM(OSRRefD20_3x)+IFERROR(SUM(OSRRefE20_3x),0)</f>
        <v>2039.28</v>
      </c>
    </row>
    <row r="49" spans="1:17" s="35" customFormat="1" hidden="1" outlineLevel="1" x14ac:dyDescent="0.3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169.88</v>
      </c>
      <c r="E49" s="2">
        <v>169.88</v>
      </c>
      <c r="F49" s="2">
        <v>169.88</v>
      </c>
      <c r="G49" s="2">
        <v>169.88</v>
      </c>
      <c r="H49" s="2">
        <v>169.88</v>
      </c>
      <c r="I49" s="2">
        <v>169.88</v>
      </c>
      <c r="J49" s="2">
        <v>170</v>
      </c>
      <c r="K49" s="2">
        <v>170</v>
      </c>
      <c r="L49" s="2">
        <v>170</v>
      </c>
      <c r="M49" s="2">
        <v>170</v>
      </c>
      <c r="N49" s="2">
        <v>170</v>
      </c>
      <c r="O49" s="2">
        <v>170</v>
      </c>
      <c r="P49" s="9"/>
      <c r="Q49" s="2">
        <f>SUM(OSRRefD21_3_0x)+IFERROR(SUM(OSRRefE21_3_0x),0)</f>
        <v>2039.28</v>
      </c>
    </row>
    <row r="50" spans="1:17" s="35" customFormat="1" collapsed="1" x14ac:dyDescent="0.3">
      <c r="A50" s="34"/>
      <c r="B50" s="14" t="str">
        <f>CONCATENATE("     ","Equipment Rental                                  ")</f>
        <v xml:space="preserve">     Equipment Rental                                  </v>
      </c>
      <c r="C50" s="14"/>
      <c r="D50" s="1">
        <f>SUM(OSRRefD21_4x_0)</f>
        <v>1205.6400000000001</v>
      </c>
      <c r="E50" s="1">
        <f>SUM(OSRRefD21_4x_1)</f>
        <v>1205.6400000000001</v>
      </c>
      <c r="F50" s="1">
        <f>SUM(OSRRefD21_4x_2)</f>
        <v>1205.6400000000001</v>
      </c>
      <c r="G50" s="1">
        <f>SUM(OSRRefD21_4x_3)</f>
        <v>1205.6400000000001</v>
      </c>
      <c r="H50" s="1">
        <f>SUM(OSRRefD21_4x_4)</f>
        <v>1205.6400000000001</v>
      </c>
      <c r="I50" s="1">
        <f>SUM(OSRRefD21_4x_5)</f>
        <v>1205.6400000000001</v>
      </c>
      <c r="J50" s="1">
        <f>SUM(OSRRefE21_4x_0)</f>
        <v>1300</v>
      </c>
      <c r="K50" s="1">
        <f>SUM(OSRRefE21_4x_1)</f>
        <v>1300</v>
      </c>
      <c r="L50" s="1">
        <f>SUM(OSRRefE21_4x_2)</f>
        <v>1300</v>
      </c>
      <c r="M50" s="1">
        <f>SUM(OSRRefE21_4x_3)</f>
        <v>1300</v>
      </c>
      <c r="N50" s="1">
        <f>SUM(OSRRefE21_4x_4)</f>
        <v>1300</v>
      </c>
      <c r="O50" s="1">
        <f>SUM(OSRRefE21_4x_5)</f>
        <v>1300</v>
      </c>
      <c r="Q50" s="2">
        <f>SUM(OSRRefD20_4x)+IFERROR(SUM(OSRRefE20_4x),0)</f>
        <v>15033.84</v>
      </c>
    </row>
    <row r="51" spans="1:17" s="35" customFormat="1" hidden="1" outlineLevel="1" x14ac:dyDescent="0.3">
      <c r="A51" s="34"/>
      <c r="B51" s="10" t="str">
        <f>CONCATENATE("          ","6351", " - ","EQUIPMENT RENTAL")</f>
        <v xml:space="preserve">          6351 - EQUIPMENT RENTAL</v>
      </c>
      <c r="C51" s="14"/>
      <c r="D51" s="2">
        <v>1205.6400000000001</v>
      </c>
      <c r="E51" s="2">
        <v>1205.6400000000001</v>
      </c>
      <c r="F51" s="2">
        <v>1205.6400000000001</v>
      </c>
      <c r="G51" s="2">
        <v>1205.6400000000001</v>
      </c>
      <c r="H51" s="2">
        <v>1205.6400000000001</v>
      </c>
      <c r="I51" s="2">
        <v>1205.6400000000001</v>
      </c>
      <c r="J51" s="2">
        <v>1300</v>
      </c>
      <c r="K51" s="2">
        <v>1300</v>
      </c>
      <c r="L51" s="2">
        <v>1300</v>
      </c>
      <c r="M51" s="2">
        <v>1300</v>
      </c>
      <c r="N51" s="2">
        <v>1300</v>
      </c>
      <c r="O51" s="2">
        <v>1300</v>
      </c>
      <c r="P51" s="9"/>
      <c r="Q51" s="2">
        <f>SUM(OSRRefD21_4_0x)+IFERROR(SUM(OSRRefE21_4_0x),0)</f>
        <v>15033.84</v>
      </c>
    </row>
    <row r="52" spans="1:17" s="35" customFormat="1" collapsed="1" x14ac:dyDescent="0.3">
      <c r="A52" s="34"/>
      <c r="B52" s="14" t="str">
        <f>CONCATENATE("     ","Freight out/Postage                               ")</f>
        <v xml:space="preserve">     Freight out/Postage                               </v>
      </c>
      <c r="C52" s="14"/>
      <c r="D52" s="1">
        <f>SUM(OSRRefD21_5x_0)</f>
        <v>2283.8600000000006</v>
      </c>
      <c r="E52" s="1">
        <f>SUM(OSRRefD21_5x_1)</f>
        <v>-20187.95</v>
      </c>
      <c r="F52" s="1">
        <f>SUM(OSRRefD21_5x_2)</f>
        <v>3500.9700000000012</v>
      </c>
      <c r="G52" s="1">
        <f>SUM(OSRRefD21_5x_3)</f>
        <v>-24784.420000000002</v>
      </c>
      <c r="H52" s="1">
        <f>SUM(OSRRefD21_5x_4)</f>
        <v>-3785.619999999999</v>
      </c>
      <c r="I52" s="1">
        <f>SUM(OSRRefD21_5x_5)</f>
        <v>-4174.8600000000006</v>
      </c>
      <c r="J52" s="1">
        <f>SUM(OSRRefE21_5x_0)</f>
        <v>-26500</v>
      </c>
      <c r="K52" s="1">
        <f>SUM(OSRRefE21_5x_1)</f>
        <v>0</v>
      </c>
      <c r="L52" s="1">
        <f>SUM(OSRRefE21_5x_2)</f>
        <v>0</v>
      </c>
      <c r="M52" s="1">
        <f>SUM(OSRRefE21_5x_3)</f>
        <v>-3000</v>
      </c>
      <c r="N52" s="1">
        <f>SUM(OSRRefE21_5x_4)</f>
        <v>-3000</v>
      </c>
      <c r="O52" s="1">
        <f>SUM(OSRRefE21_5x_5)</f>
        <v>-3000</v>
      </c>
      <c r="Q52" s="2">
        <f>SUM(OSRRefD20_5x)+IFERROR(SUM(OSRRefE20_5x),0)</f>
        <v>-82648.02</v>
      </c>
    </row>
    <row r="53" spans="1:17" s="35" customFormat="1" hidden="1" outlineLevel="1" x14ac:dyDescent="0.3">
      <c r="A53" s="34"/>
      <c r="B53" s="10" t="str">
        <f>CONCATENATE("          ","6305", " - ","FREIGHT OUT")</f>
        <v xml:space="preserve">          6305 - FREIGHT OUT</v>
      </c>
      <c r="C53" s="14"/>
      <c r="D53" s="2">
        <v>9911.1200000000008</v>
      </c>
      <c r="E53" s="2">
        <v>4220.1899999999996</v>
      </c>
      <c r="F53" s="2">
        <v>13197.43</v>
      </c>
      <c r="G53" s="2">
        <v>26152.05</v>
      </c>
      <c r="H53" s="2">
        <v>8941.11</v>
      </c>
      <c r="I53" s="2">
        <v>10292.709999999999</v>
      </c>
      <c r="J53" s="2">
        <v>15000</v>
      </c>
      <c r="K53" s="2">
        <v>22000</v>
      </c>
      <c r="L53" s="2">
        <v>6000</v>
      </c>
      <c r="M53" s="2">
        <v>1500</v>
      </c>
      <c r="N53" s="2">
        <v>1500</v>
      </c>
      <c r="O53" s="2">
        <v>1500</v>
      </c>
      <c r="P53" s="9"/>
      <c r="Q53" s="2">
        <f>SUM(OSRRefD21_5_0x)+IFERROR(SUM(OSRRefE21_5_0x),0)</f>
        <v>120214.61</v>
      </c>
    </row>
    <row r="54" spans="1:17" s="35" customFormat="1" hidden="1" outlineLevel="1" x14ac:dyDescent="0.3">
      <c r="A54" s="34"/>
      <c r="B54" s="10" t="str">
        <f>CONCATENATE("          ","6307", " - ","POSTAGE")</f>
        <v xml:space="preserve">          6307 - POSTAGE</v>
      </c>
      <c r="C54" s="14"/>
      <c r="D54" s="2">
        <v>-7627.26</v>
      </c>
      <c r="E54" s="2">
        <v>-24408.14</v>
      </c>
      <c r="F54" s="2">
        <v>-9696.4599999999991</v>
      </c>
      <c r="G54" s="2">
        <v>-50936.47</v>
      </c>
      <c r="H54" s="2">
        <v>-12726.73</v>
      </c>
      <c r="I54" s="2">
        <v>-14467.57</v>
      </c>
      <c r="J54" s="2">
        <v>-41500</v>
      </c>
      <c r="K54" s="2">
        <v>-22000</v>
      </c>
      <c r="L54" s="2">
        <v>-6000</v>
      </c>
      <c r="M54" s="2">
        <v>-4500</v>
      </c>
      <c r="N54" s="2">
        <v>-4500</v>
      </c>
      <c r="O54" s="2">
        <v>-4500</v>
      </c>
      <c r="P54" s="9"/>
      <c r="Q54" s="2">
        <f>SUM(OSRRefD21_5_1x)+IFERROR(SUM(OSRRefE21_5_1x),0)</f>
        <v>-202862.63</v>
      </c>
    </row>
    <row r="55" spans="1:17" s="35" customFormat="1" collapsed="1" x14ac:dyDescent="0.3">
      <c r="A55" s="34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91.31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0</v>
      </c>
      <c r="N55" s="1">
        <f>SUM(OSRRefE21_6x_4)</f>
        <v>0</v>
      </c>
      <c r="O55" s="1">
        <f>SUM(OSRRefE21_6x_5)</f>
        <v>0</v>
      </c>
      <c r="Q55" s="2">
        <f>SUM(OSRRefD20_6x)+IFERROR(SUM(OSRRefE20_6x),0)</f>
        <v>91.31</v>
      </c>
    </row>
    <row r="56" spans="1:17" s="35" customFormat="1" hidden="1" outlineLevel="1" x14ac:dyDescent="0.3">
      <c r="A56" s="34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91.31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SUM(OSRRefD21_6_0x)+IFERROR(SUM(OSRRefE21_6_0x),0)</f>
        <v>91.31</v>
      </c>
    </row>
    <row r="57" spans="1:17" s="35" customFormat="1" collapsed="1" x14ac:dyDescent="0.3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SUM(OSRRefD21_7x_0)</f>
        <v>2345.98</v>
      </c>
      <c r="E57" s="1">
        <f>SUM(OSRRefD21_7x_1)</f>
        <v>1731.54</v>
      </c>
      <c r="F57" s="1">
        <f>SUM(OSRRefD21_7x_2)</f>
        <v>0</v>
      </c>
      <c r="G57" s="1">
        <f>SUM(OSRRefD21_7x_3)</f>
        <v>8307.630000000001</v>
      </c>
      <c r="H57" s="1">
        <f>SUM(OSRRefD21_7x_4)</f>
        <v>142.87</v>
      </c>
      <c r="I57" s="1">
        <f>SUM(OSRRefD21_7x_5)</f>
        <v>700.73</v>
      </c>
      <c r="J57" s="1">
        <f>SUM(OSRRefE21_7x_0)</f>
        <v>5600</v>
      </c>
      <c r="K57" s="1">
        <f>SUM(OSRRefE21_7x_1)</f>
        <v>10000</v>
      </c>
      <c r="L57" s="1">
        <f>SUM(OSRRefE21_7x_2)</f>
        <v>5600</v>
      </c>
      <c r="M57" s="1">
        <f>SUM(OSRRefE21_7x_3)</f>
        <v>5600</v>
      </c>
      <c r="N57" s="1">
        <f>SUM(OSRRefE21_7x_4)</f>
        <v>5600</v>
      </c>
      <c r="O57" s="1">
        <f>SUM(OSRRefE21_7x_5)</f>
        <v>5600</v>
      </c>
      <c r="Q57" s="2">
        <f>SUM(OSRRefD20_7x)+IFERROR(SUM(OSRRefE20_7x),0)</f>
        <v>51228.75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3806.46</v>
      </c>
      <c r="H58" s="2">
        <v>142.87</v>
      </c>
      <c r="I58" s="2">
        <v>700.73</v>
      </c>
      <c r="J58" s="2">
        <v>5600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SUM(OSRRefD21_7_0x)+IFERROR(SUM(OSRRefE21_7_0x),0)</f>
        <v>43331.14</v>
      </c>
    </row>
    <row r="59" spans="1:17" s="35" customFormat="1" hidden="1" outlineLevel="1" x14ac:dyDescent="0.3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>
        <v>4501.17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SUM(OSRRefD21_7_1x)+IFERROR(SUM(OSRRefE21_7_1x),0)</f>
        <v>7897.6100000000006</v>
      </c>
    </row>
    <row r="60" spans="1:17" s="35" customFormat="1" collapsed="1" x14ac:dyDescent="0.3">
      <c r="A60" s="34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SUM(OSRRefD21_8x_3)</f>
        <v>1925.97</v>
      </c>
      <c r="H60" s="1">
        <f>SUM(OSRRefD21_8x_4)</f>
        <v>784.77</v>
      </c>
      <c r="I60" s="1">
        <f>SUM(OSRRefD21_8x_5)</f>
        <v>1121.23</v>
      </c>
      <c r="J60" s="1">
        <f>SUM(OSRRefE21_8x_0)</f>
        <v>10000</v>
      </c>
      <c r="K60" s="1">
        <f>SUM(OSRRefE21_8x_1)</f>
        <v>4000</v>
      </c>
      <c r="L60" s="1">
        <f>SUM(OSRRefE21_8x_2)</f>
        <v>600</v>
      </c>
      <c r="M60" s="1">
        <f>SUM(OSRRefE21_8x_3)</f>
        <v>700</v>
      </c>
      <c r="N60" s="1">
        <f>SUM(OSRRefE21_8x_4)</f>
        <v>6500</v>
      </c>
      <c r="O60" s="1">
        <f>SUM(OSRRefE21_8x_5)</f>
        <v>6500</v>
      </c>
      <c r="Q60" s="2">
        <f>SUM(OSRRefD20_8x)+IFERROR(SUM(OSRRefE20_8x),0)</f>
        <v>33914.14</v>
      </c>
    </row>
    <row r="61" spans="1:17" s="35" customFormat="1" hidden="1" outlineLevel="1" x14ac:dyDescent="0.3">
      <c r="A61" s="34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1925.97</v>
      </c>
      <c r="H61" s="2">
        <v>784.77</v>
      </c>
      <c r="I61" s="2">
        <v>1121.23</v>
      </c>
      <c r="J61" s="2">
        <v>10000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33914.14</v>
      </c>
    </row>
    <row r="62" spans="1:17" s="35" customFormat="1" collapsed="1" x14ac:dyDescent="0.3">
      <c r="A62" s="34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SUM(OSRRefD21_9x_3)</f>
        <v>3516.3199999999997</v>
      </c>
      <c r="H62" s="1">
        <f>SUM(OSRRefD21_9x_4)</f>
        <v>1938.7199999999998</v>
      </c>
      <c r="I62" s="1">
        <f>SUM(OSRRefD21_9x_5)</f>
        <v>3328.09</v>
      </c>
      <c r="J62" s="1">
        <f>SUM(OSRRefE21_9x_0)</f>
        <v>11750</v>
      </c>
      <c r="K62" s="1">
        <f>SUM(OSRRefE21_9x_1)</f>
        <v>5950</v>
      </c>
      <c r="L62" s="1">
        <f>SUM(OSRRefE21_9x_2)</f>
        <v>1350</v>
      </c>
      <c r="M62" s="1">
        <f>SUM(OSRRefE21_9x_3)</f>
        <v>4600</v>
      </c>
      <c r="N62" s="1">
        <f>SUM(OSRRefE21_9x_4)</f>
        <v>5500</v>
      </c>
      <c r="O62" s="1">
        <f>SUM(OSRRefE21_9x_5)</f>
        <v>1350</v>
      </c>
      <c r="Q62" s="2">
        <f>SUM(OSRRefD20_9x)+IFERROR(SUM(OSRRefE20_9x),0)</f>
        <v>52322.240000000005</v>
      </c>
    </row>
    <row r="63" spans="1:17" s="35" customFormat="1" hidden="1" outlineLevel="1" x14ac:dyDescent="0.3">
      <c r="A63" s="34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>
        <v>3.96</v>
      </c>
      <c r="H63" s="2">
        <v>7.16</v>
      </c>
      <c r="I63" s="2">
        <v>9.98</v>
      </c>
      <c r="J63" s="2"/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4952.8499999999995</v>
      </c>
    </row>
    <row r="64" spans="1:17" s="35" customFormat="1" hidden="1" outlineLevel="1" x14ac:dyDescent="0.3">
      <c r="A64" s="34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735.87</v>
      </c>
      <c r="H64" s="2">
        <v>284.11</v>
      </c>
      <c r="I64" s="2"/>
      <c r="J64" s="2">
        <v>7500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24170.9</v>
      </c>
    </row>
    <row r="65" spans="1:17" s="35" customFormat="1" hidden="1" outlineLevel="1" x14ac:dyDescent="0.3">
      <c r="A65" s="34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296.68</v>
      </c>
      <c r="H65" s="2">
        <v>632.28</v>
      </c>
      <c r="I65" s="2">
        <v>812.04</v>
      </c>
      <c r="J65" s="2">
        <v>3750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9331.93</v>
      </c>
    </row>
    <row r="66" spans="1:17" s="35" customFormat="1" hidden="1" outlineLevel="1" x14ac:dyDescent="0.3">
      <c r="A66" s="34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2479.81</v>
      </c>
      <c r="H66" s="2">
        <v>1015.17</v>
      </c>
      <c r="I66" s="2">
        <v>2506.0700000000002</v>
      </c>
      <c r="J66" s="2">
        <v>500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13866.56</v>
      </c>
    </row>
    <row r="67" spans="1:17" s="35" customFormat="1" collapsed="1" x14ac:dyDescent="0.3">
      <c r="A67" s="34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SUM(OSRRefD21_10x_3)</f>
        <v>46.2</v>
      </c>
      <c r="H67" s="1">
        <f>SUM(OSRRefD21_10x_4)</f>
        <v>46.15</v>
      </c>
      <c r="I67" s="1">
        <f>SUM(OSRRefD21_10x_5)</f>
        <v>50.5</v>
      </c>
      <c r="J67" s="1">
        <f>SUM(OSRRefE21_10x_0)</f>
        <v>175</v>
      </c>
      <c r="K67" s="1">
        <f>SUM(OSRRefE21_10x_1)</f>
        <v>175</v>
      </c>
      <c r="L67" s="1">
        <f>SUM(OSRRefE21_10x_2)</f>
        <v>175</v>
      </c>
      <c r="M67" s="1">
        <f>SUM(OSRRefE21_10x_3)</f>
        <v>175</v>
      </c>
      <c r="N67" s="1">
        <f>SUM(OSRRefE21_10x_4)</f>
        <v>175</v>
      </c>
      <c r="O67" s="1">
        <f>SUM(OSRRefE21_10x_5)</f>
        <v>175</v>
      </c>
      <c r="Q67" s="2">
        <f>SUM(OSRRefD20_10x)+IFERROR(SUM(OSRRefE20_10x),0)</f>
        <v>1679.5500000000002</v>
      </c>
    </row>
    <row r="68" spans="1:17" s="35" customFormat="1" hidden="1" outlineLevel="1" x14ac:dyDescent="0.3">
      <c r="A68" s="34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46.2</v>
      </c>
      <c r="H68" s="2">
        <v>46.15</v>
      </c>
      <c r="I68" s="2">
        <v>50.5</v>
      </c>
      <c r="J68" s="2">
        <v>175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1679.5500000000002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E70" si="3">0</f>
        <v>0</v>
      </c>
      <c r="E70" s="3">
        <f t="shared" si="3"/>
        <v>0</v>
      </c>
      <c r="F70" s="3">
        <f>--14899</f>
        <v>14899</v>
      </c>
      <c r="G70" s="3">
        <f t="shared" ref="G70:I70" si="4">0</f>
        <v>0</v>
      </c>
      <c r="H70" s="3">
        <f t="shared" si="4"/>
        <v>0</v>
      </c>
      <c r="I70" s="3">
        <f t="shared" si="4"/>
        <v>0</v>
      </c>
      <c r="J70" s="3"/>
      <c r="K70" s="3"/>
      <c r="L70" s="3"/>
      <c r="M70" s="3"/>
      <c r="N70" s="3"/>
      <c r="O70" s="3"/>
      <c r="Q70" s="2">
        <f>SUM(OSRRefD23_0x)+IFERROR(SUM(OSRRefE23_0x),0)</f>
        <v>14899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5">IFERROR(+D21-D24+D70, 0)</f>
        <v>-35127.08</v>
      </c>
      <c r="E72" s="7">
        <f t="shared" si="5"/>
        <v>38105.460000000006</v>
      </c>
      <c r="F72" s="7">
        <f t="shared" si="5"/>
        <v>-3127.9000000000051</v>
      </c>
      <c r="G72" s="7">
        <f t="shared" si="5"/>
        <v>-13895.08</v>
      </c>
      <c r="H72" s="7">
        <f t="shared" si="5"/>
        <v>-5228.7299999999987</v>
      </c>
      <c r="I72" s="7">
        <f t="shared" si="5"/>
        <v>-9875.0600000000013</v>
      </c>
      <c r="J72" s="7">
        <f t="shared" si="5"/>
        <v>67700.698120480753</v>
      </c>
      <c r="K72" s="7">
        <f t="shared" si="5"/>
        <v>8992.3436763846112</v>
      </c>
      <c r="L72" s="7">
        <f t="shared" si="5"/>
        <v>22613.395024384608</v>
      </c>
      <c r="M72" s="7">
        <f t="shared" si="5"/>
        <v>13046.269044480752</v>
      </c>
      <c r="N72" s="7">
        <f t="shared" si="5"/>
        <v>15963.395024384608</v>
      </c>
      <c r="O72" s="7">
        <f t="shared" si="5"/>
        <v>-18689.503919615392</v>
      </c>
      <c r="Q72" s="7">
        <f>IFERROR(+Q21-Q24+Q70, 0)</f>
        <v>80478.206970499945</v>
      </c>
    </row>
    <row r="73" spans="1:17" s="6" customFormat="1" x14ac:dyDescent="0.3">
      <c r="B73" s="16"/>
      <c r="C73" s="16"/>
      <c r="D73" s="4">
        <f t="shared" ref="D73:O73" si="6">IFERROR(D72/D10, 0)</f>
        <v>-13.874350264633859</v>
      </c>
      <c r="E73" s="4">
        <f t="shared" si="6"/>
        <v>0.68113736143030512</v>
      </c>
      <c r="F73" s="4">
        <f t="shared" si="6"/>
        <v>-0.18914658179792992</v>
      </c>
      <c r="G73" s="4">
        <f t="shared" si="6"/>
        <v>-1.4768975020965553</v>
      </c>
      <c r="H73" s="4">
        <f t="shared" si="6"/>
        <v>-0.77027546614457865</v>
      </c>
      <c r="I73" s="4">
        <f t="shared" si="6"/>
        <v>-1.2742489718970131</v>
      </c>
      <c r="J73" s="4">
        <f t="shared" si="6"/>
        <v>0.76068200135371633</v>
      </c>
      <c r="K73" s="4">
        <f t="shared" si="6"/>
        <v>0.19296874842027062</v>
      </c>
      <c r="L73" s="4">
        <f t="shared" si="6"/>
        <v>0.48526598764773837</v>
      </c>
      <c r="M73" s="4">
        <f t="shared" si="6"/>
        <v>0.32615672611201879</v>
      </c>
      <c r="N73" s="4">
        <f t="shared" si="6"/>
        <v>0.339646702646481</v>
      </c>
      <c r="O73" s="4">
        <f t="shared" si="6"/>
        <v>-3.3374114142170344</v>
      </c>
      <c r="P73" s="18"/>
      <c r="Q73" s="4">
        <f>IFERROR(Q72/Q10, 0)</f>
        <v>0.21532128835338701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473.63</v>
      </c>
      <c r="H75" s="3">
        <v>1105.7</v>
      </c>
      <c r="I75" s="3">
        <v>1047.68</v>
      </c>
      <c r="J75" s="3">
        <v>10604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40964.740000000005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7">IFERROR(+D72-D75, 0)</f>
        <v>-36296.76</v>
      </c>
      <c r="E77" s="8">
        <f t="shared" si="7"/>
        <v>30536.940000000006</v>
      </c>
      <c r="F77" s="8">
        <f t="shared" si="7"/>
        <v>-3674.4300000000048</v>
      </c>
      <c r="G77" s="8">
        <f t="shared" si="7"/>
        <v>-14368.71</v>
      </c>
      <c r="H77" s="8">
        <f t="shared" si="7"/>
        <v>-6334.4299999999985</v>
      </c>
      <c r="I77" s="8">
        <f t="shared" si="7"/>
        <v>-10922.740000000002</v>
      </c>
      <c r="J77" s="8">
        <f t="shared" si="7"/>
        <v>57096.698120480753</v>
      </c>
      <c r="K77" s="8">
        <f t="shared" si="7"/>
        <v>3966.3436763846112</v>
      </c>
      <c r="L77" s="8">
        <f t="shared" si="7"/>
        <v>17062.395024384608</v>
      </c>
      <c r="M77" s="8">
        <f t="shared" si="7"/>
        <v>7739.2690444807522</v>
      </c>
      <c r="N77" s="8">
        <f t="shared" si="7"/>
        <v>9802.3950243846084</v>
      </c>
      <c r="O77" s="8">
        <f t="shared" si="7"/>
        <v>-15093.503919615392</v>
      </c>
      <c r="Q77" s="8">
        <f>IFERROR(+Q72-Q75, 0)</f>
        <v>39513.46697049994</v>
      </c>
    </row>
    <row r="78" spans="1:17" ht="15" thickTop="1" x14ac:dyDescent="0.3">
      <c r="A78" s="5"/>
      <c r="B78" s="5"/>
      <c r="C78" s="5"/>
      <c r="D78" s="4">
        <f t="shared" ref="D78:O78" si="8">IFERROR(D77/D10, 0)</f>
        <v>-14.336345682913345</v>
      </c>
      <c r="E78" s="4">
        <f t="shared" si="8"/>
        <v>0.54584961676766386</v>
      </c>
      <c r="F78" s="4">
        <f t="shared" si="8"/>
        <v>-0.22219568226470393</v>
      </c>
      <c r="G78" s="4">
        <f t="shared" si="8"/>
        <v>-1.5272392751498944</v>
      </c>
      <c r="H78" s="4">
        <f t="shared" si="8"/>
        <v>-0.9331627414324708</v>
      </c>
      <c r="I78" s="4">
        <f t="shared" si="8"/>
        <v>-1.4094385467327168</v>
      </c>
      <c r="J78" s="4">
        <f t="shared" si="8"/>
        <v>0.64153593393798602</v>
      </c>
      <c r="K78" s="4">
        <f t="shared" si="8"/>
        <v>8.5114671167051736E-2</v>
      </c>
      <c r="L78" s="4">
        <f t="shared" si="8"/>
        <v>0.36614581597391865</v>
      </c>
      <c r="M78" s="4">
        <f t="shared" si="8"/>
        <v>0.1934817261120188</v>
      </c>
      <c r="N78" s="4">
        <f t="shared" si="8"/>
        <v>0.20856159626350232</v>
      </c>
      <c r="O78" s="4">
        <f t="shared" si="8"/>
        <v>-2.695268557074177</v>
      </c>
      <c r="P78" s="18"/>
      <c r="Q78" s="4">
        <f>IFERROR(Q77/Q10, 0)</f>
        <v>0.1057191870404838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9">IFERROR(SUM(D77:D80), 0)</f>
        <v>-36311.096345682912</v>
      </c>
      <c r="E81" s="8">
        <f t="shared" si="9"/>
        <v>30537.485849616773</v>
      </c>
      <c r="F81" s="8">
        <f t="shared" si="9"/>
        <v>-3674.6521956822694</v>
      </c>
      <c r="G81" s="8">
        <f t="shared" si="9"/>
        <v>-14370.237239275149</v>
      </c>
      <c r="H81" s="8">
        <f t="shared" si="9"/>
        <v>-6335.3631627414306</v>
      </c>
      <c r="I81" s="8">
        <f t="shared" si="9"/>
        <v>-10924.149438546734</v>
      </c>
      <c r="J81" s="8">
        <f t="shared" si="9"/>
        <v>57097.33965641469</v>
      </c>
      <c r="K81" s="8">
        <f t="shared" si="9"/>
        <v>3966.4287910557782</v>
      </c>
      <c r="L81" s="8">
        <f t="shared" si="9"/>
        <v>17062.761170200582</v>
      </c>
      <c r="M81" s="8">
        <f t="shared" si="9"/>
        <v>7739.4625262068639</v>
      </c>
      <c r="N81" s="8">
        <f t="shared" si="9"/>
        <v>9802.6035859808726</v>
      </c>
      <c r="O81" s="8">
        <f t="shared" si="9"/>
        <v>-15096.199188172466</v>
      </c>
      <c r="Q81" s="8">
        <f>IFERROR(SUM(Q77:Q80), 0)</f>
        <v>39513.572689686982</v>
      </c>
    </row>
    <row r="82" spans="1:17" ht="15" thickTop="1" x14ac:dyDescent="0.3">
      <c r="A82" s="5"/>
      <c r="C82" s="5"/>
      <c r="D82" s="4">
        <f t="shared" ref="D82:O82" si="10">IFERROR(D81/D10, 0)</f>
        <v>-14.342008194044915</v>
      </c>
      <c r="E82" s="4">
        <f t="shared" si="10"/>
        <v>0.54585937386199368</v>
      </c>
      <c r="F82" s="4">
        <f t="shared" si="10"/>
        <v>-0.2222091186129857</v>
      </c>
      <c r="G82" s="4">
        <f t="shared" si="10"/>
        <v>-1.527401604252755</v>
      </c>
      <c r="H82" s="4">
        <f t="shared" si="10"/>
        <v>-0.93330021121301898</v>
      </c>
      <c r="I82" s="4">
        <f t="shared" si="10"/>
        <v>-1.409620416576457</v>
      </c>
      <c r="J82" s="4">
        <f t="shared" si="10"/>
        <v>0.64154314220690667</v>
      </c>
      <c r="K82" s="4">
        <f t="shared" si="10"/>
        <v>8.5116497662141161E-2</v>
      </c>
      <c r="L82" s="4">
        <f t="shared" si="10"/>
        <v>0.36615367318026998</v>
      </c>
      <c r="M82" s="4">
        <f t="shared" si="10"/>
        <v>0.1934865631551716</v>
      </c>
      <c r="N82" s="4">
        <f t="shared" si="10"/>
        <v>0.20856603374427388</v>
      </c>
      <c r="O82" s="4">
        <f t="shared" si="10"/>
        <v>-2.6957498550307974</v>
      </c>
      <c r="P82" s="18"/>
      <c r="Q82" s="4">
        <f>IFERROR(Q81/Q10, 0)</f>
        <v>0.10571946989459319</v>
      </c>
    </row>
    <row r="83" spans="1:17" x14ac:dyDescent="0.3">
      <c r="A83" s="5"/>
      <c r="B83" s="28">
        <v>44575.850692245367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26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3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220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SUM(OSRRefD11x_4)</f>
        <v>92527.76</v>
      </c>
      <c r="I10" s="3">
        <f>SUM(OSRRefD11x_5)</f>
        <v>133542.32999999999</v>
      </c>
      <c r="J10" s="3">
        <f>SUM(OSRRefE11x_0)</f>
        <v>182857</v>
      </c>
      <c r="K10" s="3">
        <f>SUM(OSRRefE11x_1)</f>
        <v>106698</v>
      </c>
      <c r="L10" s="3">
        <f>SUM(OSRRefE11x_2)</f>
        <v>108570</v>
      </c>
      <c r="M10" s="3">
        <f>SUM(OSRRefE11x_3)</f>
        <v>206230</v>
      </c>
      <c r="N10" s="3">
        <f>SUM(OSRRefE11x_4)</f>
        <v>387930</v>
      </c>
      <c r="O10" s="3">
        <f>SUM(OSRRefE11x_5)</f>
        <v>106336</v>
      </c>
      <c r="P10" s="24"/>
      <c r="Q10" s="3">
        <f>SUM(OSRRefG11x)</f>
        <v>2065270.8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f>--101601.44</f>
        <v>101601.44</v>
      </c>
      <c r="I11" s="2">
        <f>--134314.8</f>
        <v>134314.79999999999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1837667.75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f>--34580</f>
        <v>34580</v>
      </c>
      <c r="I12" s="2">
        <f>--38625.69</f>
        <v>38625.69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419767.58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>
        <f>-43602.29</f>
        <v>-43602.29</v>
      </c>
      <c r="I13" s="2">
        <f>-39012.77</f>
        <v>-39012.769999999997</v>
      </c>
      <c r="J13" s="2"/>
      <c r="K13" s="2"/>
      <c r="L13" s="2"/>
      <c r="M13" s="2"/>
      <c r="N13" s="2"/>
      <c r="O13" s="2"/>
      <c r="Q13" s="2">
        <f>SUM(OSRRefD11_2x)+IFERROR(SUM(OSRRefE11_2x),0)</f>
        <v>-190982.41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>
        <f>-14.99</f>
        <v>-14.99</v>
      </c>
      <c r="I14" s="2">
        <f>0</f>
        <v>0</v>
      </c>
      <c r="J14" s="2"/>
      <c r="K14" s="2"/>
      <c r="L14" s="2"/>
      <c r="M14" s="2"/>
      <c r="N14" s="2"/>
      <c r="O14" s="2"/>
      <c r="Q14" s="2">
        <f>SUM(OSRRefD11_3x)+IFERROR(SUM(OSRRefE11_3x),0)</f>
        <v>-704.79000000000008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>
        <f>-36.4</f>
        <v>-36.4</v>
      </c>
      <c r="I15" s="2">
        <f>-385.39</f>
        <v>-385.39</v>
      </c>
      <c r="J15" s="2"/>
      <c r="K15" s="2"/>
      <c r="L15" s="2"/>
      <c r="M15" s="2"/>
      <c r="N15" s="2"/>
      <c r="O15" s="2"/>
      <c r="Q15" s="2">
        <f>SUM(OSRRefD11_4x)+IFERROR(SUM(OSRRefE11_4x),0)</f>
        <v>-477.33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SUM(OSRRefD14x_4)</f>
        <v>82925.39</v>
      </c>
      <c r="I17" s="3">
        <f>SUM(OSRRefD14x_5)</f>
        <v>119832.5</v>
      </c>
      <c r="J17" s="3">
        <f>SUM(OSRRefE14x_0)</f>
        <v>163656</v>
      </c>
      <c r="K17" s="3">
        <f>SUM(OSRRefE14x_1)</f>
        <v>95495</v>
      </c>
      <c r="L17" s="3">
        <f>SUM(OSRRefE14x_2)</f>
        <v>97170</v>
      </c>
      <c r="M17" s="3">
        <f>SUM(OSRRefE14x_3)</f>
        <v>184575</v>
      </c>
      <c r="N17" s="3">
        <f>SUM(OSRRefE14x_4)</f>
        <v>347197</v>
      </c>
      <c r="O17" s="3">
        <f>SUM(OSRRefE14x_5)</f>
        <v>95171</v>
      </c>
      <c r="Q17" s="3">
        <f>SUM(OSRRefG14x)</f>
        <v>1805756.23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97362.54</v>
      </c>
      <c r="E18" s="2">
        <v>285773.33</v>
      </c>
      <c r="F18" s="2">
        <v>169066.36</v>
      </c>
      <c r="G18" s="2">
        <v>134649.96</v>
      </c>
      <c r="H18" s="2">
        <v>56710.32</v>
      </c>
      <c r="I18" s="2">
        <v>183675.67</v>
      </c>
      <c r="J18" s="2">
        <v>163656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1910502.18</v>
      </c>
    </row>
    <row r="19" spans="1:17" s="9" customFormat="1" hidden="1" outlineLevel="1" x14ac:dyDescent="0.3">
      <c r="A19" s="23"/>
      <c r="B19" s="10" t="str">
        <f>CONCATENATE("          ","5081", " - ","PURCHASES @ COST-ELECTRONICS")</f>
        <v xml:space="preserve">          5081 - PURCHASES @ COST-ELECTRONICS</v>
      </c>
      <c r="C19" s="22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","5082", " - ","PURCHASES @ COST-COMPUTER HARD")</f>
        <v xml:space="preserve">          5082 - PURCHASES @ COST-COMPUTER HARD</v>
      </c>
      <c r="C20" s="22"/>
      <c r="D20" s="2">
        <v>-10902.62</v>
      </c>
      <c r="E20" s="2">
        <v>-23501.200000000001</v>
      </c>
      <c r="F20" s="2">
        <v>-22380.03</v>
      </c>
      <c r="G20" s="2">
        <v>-20540.88</v>
      </c>
      <c r="H20" s="2">
        <v>-3384.72</v>
      </c>
      <c r="I20" s="2">
        <v>-6160.03</v>
      </c>
      <c r="J20" s="2"/>
      <c r="K20" s="2"/>
      <c r="L20" s="2"/>
      <c r="M20" s="2"/>
      <c r="N20" s="2"/>
      <c r="O20" s="2"/>
      <c r="Q20" s="2">
        <f>SUM(OSRRefD14_2x)+IFERROR(SUM(OSRRefE14_2x),0)</f>
        <v>-86869.48</v>
      </c>
    </row>
    <row r="21" spans="1:17" s="9" customFormat="1" hidden="1" outlineLevel="1" x14ac:dyDescent="0.3">
      <c r="A21" s="23"/>
      <c r="B21" s="10" t="str">
        <f>CONCATENATE("          ","5083", " - ","PURCHASES @ COST-COMPUTER EQUI")</f>
        <v xml:space="preserve">          5083 - PURCHASES @ COST-COMPUTER EQUI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","5085", " - ","PURCHASES @ COST-SOFTWARE")</f>
        <v xml:space="preserve">          5085 - PURCHASES @ COST-SOFTWARE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","5086", " - ","PURCHASES @ COST-COMPUTER SUPP")</f>
        <v xml:space="preserve">          5086 - PURCHASES @ COST-COMPUTER SUPP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","5200", " - ","PURCHASES OFFSET")</f>
        <v xml:space="preserve">          5200 - PURCHASES OFFSET</v>
      </c>
      <c r="C24" s="22"/>
      <c r="D24" s="2">
        <v>-97382.65</v>
      </c>
      <c r="E24" s="2">
        <v>-285788.87</v>
      </c>
      <c r="F24" s="2">
        <v>-169066.36</v>
      </c>
      <c r="G24" s="2">
        <v>-134658.5</v>
      </c>
      <c r="H24" s="2">
        <v>-56710.32</v>
      </c>
      <c r="I24" s="2">
        <v>-183675.67</v>
      </c>
      <c r="J24" s="2"/>
      <c r="K24" s="2"/>
      <c r="L24" s="2"/>
      <c r="M24" s="2"/>
      <c r="N24" s="2"/>
      <c r="O24" s="2"/>
      <c r="Q24" s="2">
        <f>SUM(OSRRefD14_6x)+IFERROR(SUM(OSRRefE14_6x),0)</f>
        <v>-927282.37</v>
      </c>
    </row>
    <row r="25" spans="1:17" s="9" customFormat="1" hidden="1" outlineLevel="1" x14ac:dyDescent="0.3">
      <c r="A25" s="23"/>
      <c r="B25" s="10" t="str">
        <f>CONCATENATE("          ","5300", " - ","COG$ OFFSET")</f>
        <v xml:space="preserve">          5300 - COG$ OFFSET</v>
      </c>
      <c r="C25" s="22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>
        <v>86310.11</v>
      </c>
      <c r="I25" s="2">
        <v>125992.53</v>
      </c>
      <c r="J25" s="2"/>
      <c r="K25" s="2"/>
      <c r="L25" s="2"/>
      <c r="M25" s="2"/>
      <c r="N25" s="2"/>
      <c r="O25" s="2"/>
      <c r="Q25" s="2">
        <f>SUM(OSRRefD14_7x)+IFERROR(SUM(OSRRefE14_7x),0)</f>
        <v>909361.71000000008</v>
      </c>
    </row>
    <row r="26" spans="1:17" s="9" customFormat="1" hidden="1" outlineLevel="1" x14ac:dyDescent="0.3">
      <c r="A26" s="23"/>
      <c r="B26" s="10" t="str">
        <f>CONCATENATE("          ","5500", " - ","FREIGHT-IN")</f>
        <v xml:space="preserve">          5500 - FREIGHT-IN</v>
      </c>
      <c r="C26" s="22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44.19</v>
      </c>
    </row>
    <row r="27" spans="1:17" s="9" customFormat="1" hidden="1" outlineLevel="1" x14ac:dyDescent="0.3">
      <c r="A27" s="23"/>
      <c r="B27" s="10" t="str">
        <f>CONCATENATE("          ","5583", " - ","FREIGHT-IN-COMPUTER EQUIPMENT")</f>
        <v xml:space="preserve">          5583 - FREIGHT-IN-COMPUTER EQUIPMENT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12934.829999999987</v>
      </c>
      <c r="E29" s="7">
        <f t="shared" si="1"/>
        <v>51580.44</v>
      </c>
      <c r="F29" s="7">
        <f t="shared" si="1"/>
        <v>57602.059999999969</v>
      </c>
      <c r="G29" s="7">
        <f t="shared" si="1"/>
        <v>-1271.9599999999919</v>
      </c>
      <c r="H29" s="7">
        <f t="shared" si="1"/>
        <v>9602.3699999999953</v>
      </c>
      <c r="I29" s="7">
        <f t="shared" si="1"/>
        <v>13709.829999999987</v>
      </c>
      <c r="J29" s="7">
        <f t="shared" si="1"/>
        <v>19201</v>
      </c>
      <c r="K29" s="7">
        <f t="shared" si="1"/>
        <v>11203</v>
      </c>
      <c r="L29" s="7">
        <f t="shared" si="1"/>
        <v>11400</v>
      </c>
      <c r="M29" s="7">
        <f t="shared" si="1"/>
        <v>21655</v>
      </c>
      <c r="N29" s="7">
        <f t="shared" si="1"/>
        <v>40733</v>
      </c>
      <c r="O29" s="7">
        <f t="shared" si="1"/>
        <v>11165</v>
      </c>
      <c r="Q29" s="7">
        <f>IFERROR(+Q10-Q17, 0)</f>
        <v>259514.57000000007</v>
      </c>
    </row>
    <row r="30" spans="1:17" s="6" customFormat="1" x14ac:dyDescent="0.3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0.10377826070792155</v>
      </c>
      <c r="I30" s="4">
        <f t="shared" si="2"/>
        <v>0.10266280362189269</v>
      </c>
      <c r="J30" s="4">
        <f t="shared" si="2"/>
        <v>0.10500555078558656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0.12565643691858716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16884.670000000002</v>
      </c>
      <c r="E32" s="12">
        <f>SUM(OSRRefD20x_1)</f>
        <v>14040.32</v>
      </c>
      <c r="F32" s="12">
        <f>SUM(OSRRefD20x_2)</f>
        <v>12211.060000000001</v>
      </c>
      <c r="G32" s="12">
        <f>SUM(OSRRefD20x_3)</f>
        <v>15889.100000000002</v>
      </c>
      <c r="H32" s="12">
        <f>SUM(OSRRefD20x_4)</f>
        <v>12756.370000000003</v>
      </c>
      <c r="I32" s="12">
        <f>SUM(OSRRefD20x_5)</f>
        <v>12627.03</v>
      </c>
      <c r="J32" s="12">
        <f>SUM(OSRRefE20x_0)</f>
        <v>19194.0356750875</v>
      </c>
      <c r="K32" s="12">
        <f>SUM(OSRRefE20x_1)</f>
        <v>14386.013488870001</v>
      </c>
      <c r="L32" s="12">
        <f>SUM(OSRRefE20x_2)</f>
        <v>14136.013488870001</v>
      </c>
      <c r="M32" s="12">
        <f>SUM(OSRRefE20x_3)</f>
        <v>17682.834579087499</v>
      </c>
      <c r="N32" s="12">
        <f>SUM(OSRRefE20x_4)</f>
        <v>15550.733476869998</v>
      </c>
      <c r="O32" s="12">
        <f>SUM(OSRRefE20x_5)</f>
        <v>13656.93609967</v>
      </c>
      <c r="Q32" s="12">
        <f>SUM(OSRRefG20x)</f>
        <v>179015.11680845503</v>
      </c>
    </row>
    <row r="33" spans="1:17" s="35" customFormat="1" collapsed="1" x14ac:dyDescent="0.3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SUM(OSRRefD21_0x_4)</f>
        <v>2357.9199999999996</v>
      </c>
      <c r="I33" s="1">
        <f>SUM(OSRRefD21_0x_5)</f>
        <v>2379.6800000000003</v>
      </c>
      <c r="J33" s="1">
        <f>SUM(OSRRefE21_0x_0)</f>
        <v>3115.8774875875001</v>
      </c>
      <c r="K33" s="1">
        <f>SUM(OSRRefE21_0x_1)</f>
        <v>2578.94293887</v>
      </c>
      <c r="L33" s="1">
        <f>SUM(OSRRefE21_0x_2)</f>
        <v>2578.94293887</v>
      </c>
      <c r="M33" s="1">
        <f>SUM(OSRRefE21_0x_3)</f>
        <v>3041.1563915874999</v>
      </c>
      <c r="N33" s="1">
        <f>SUM(OSRRefE21_0x_4)</f>
        <v>2563.2229268699998</v>
      </c>
      <c r="O33" s="1">
        <f>SUM(OSRRefE21_0x_5)</f>
        <v>2818.6255496700001</v>
      </c>
      <c r="Q33" s="2">
        <f>SUM(OSRRefD20_0x)+IFERROR(SUM(OSRRefE20_0x),0)</f>
        <v>27999.978233455004</v>
      </c>
    </row>
    <row r="34" spans="1:17" s="35" customFormat="1" hidden="1" outlineLevel="1" x14ac:dyDescent="0.3">
      <c r="A34" s="34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475.62</v>
      </c>
      <c r="I34" s="2">
        <v>494.27</v>
      </c>
      <c r="J34" s="2">
        <v>571.71439946249996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6560.8093400050002</v>
      </c>
    </row>
    <row r="35" spans="1:17" s="35" customFormat="1" hidden="1" outlineLevel="1" x14ac:dyDescent="0.3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124.44</v>
      </c>
      <c r="I35" s="2">
        <v>142.52000000000001</v>
      </c>
      <c r="J35" s="2">
        <v>227.47422750000001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1950.2330486000001</v>
      </c>
    </row>
    <row r="36" spans="1:17" s="35" customFormat="1" hidden="1" outlineLevel="1" x14ac:dyDescent="0.3">
      <c r="A36" s="34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853.84</v>
      </c>
      <c r="I36" s="2">
        <v>853.84</v>
      </c>
      <c r="J36" s="2">
        <v>1096.5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9717.41</v>
      </c>
    </row>
    <row r="37" spans="1:17" s="35" customFormat="1" hidden="1" outlineLevel="1" x14ac:dyDescent="0.3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21.86</v>
      </c>
      <c r="I37" s="2">
        <v>25.04</v>
      </c>
      <c r="J37" s="2">
        <v>30.621530624999998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298.54444884999998</v>
      </c>
    </row>
    <row r="38" spans="1:17" s="35" customFormat="1" hidden="1" outlineLevel="1" x14ac:dyDescent="0.3">
      <c r="A38" s="34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103.22</v>
      </c>
      <c r="I38" s="2">
        <v>103.22</v>
      </c>
      <c r="J38" s="2">
        <v>252.70766750000001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2001.7998710000002</v>
      </c>
    </row>
    <row r="39" spans="1:17" s="35" customFormat="1" hidden="1" outlineLevel="1" x14ac:dyDescent="0.3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3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>
        <v>120</v>
      </c>
      <c r="I40" s="2">
        <v>120</v>
      </c>
      <c r="J40" s="2"/>
      <c r="K40" s="2"/>
      <c r="L40" s="2"/>
      <c r="M40" s="2"/>
      <c r="N40" s="2"/>
      <c r="O40" s="2"/>
      <c r="P40" s="9"/>
      <c r="Q40" s="2">
        <f>SUM(OSRRefD21_0_6x)+IFERROR(SUM(OSRRefE21_0_6x),0)</f>
        <v>-417.33999999999992</v>
      </c>
    </row>
    <row r="41" spans="1:17" s="35" customFormat="1" hidden="1" outlineLevel="1" x14ac:dyDescent="0.3">
      <c r="A41" s="34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222.3</v>
      </c>
      <c r="I41" s="2">
        <v>227.57</v>
      </c>
      <c r="J41" s="2">
        <v>224.11383749999999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2180.8619550000003</v>
      </c>
    </row>
    <row r="42" spans="1:17" s="35" customFormat="1" hidden="1" outlineLevel="1" x14ac:dyDescent="0.3">
      <c r="A42" s="34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216.23</v>
      </c>
      <c r="I42" s="2">
        <v>216.23</v>
      </c>
      <c r="J42" s="2">
        <v>362.74582500000002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2722.5095700000002</v>
      </c>
    </row>
    <row r="43" spans="1:17" s="35" customFormat="1" hidden="1" outlineLevel="1" x14ac:dyDescent="0.3">
      <c r="A43" s="34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220.41</v>
      </c>
      <c r="I43" s="2">
        <v>196.99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2985.15</v>
      </c>
    </row>
    <row r="44" spans="1:17" s="35" customFormat="1" collapsed="1" x14ac:dyDescent="0.3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SUM(OSRRefD21_1x_4)</f>
        <v>9218.130000000001</v>
      </c>
      <c r="I44" s="1">
        <f>SUM(OSRRefD21_1x_5)</f>
        <v>9388.6099999999988</v>
      </c>
      <c r="J44" s="1">
        <f>SUM(OSRRefE21_1x_0)</f>
        <v>14208.158187500001</v>
      </c>
      <c r="K44" s="1">
        <f>SUM(OSRRefE21_1x_1)</f>
        <v>10317.07055</v>
      </c>
      <c r="L44" s="1">
        <f>SUM(OSRRefE21_1x_2)</f>
        <v>10317.07055</v>
      </c>
      <c r="M44" s="1">
        <f>SUM(OSRRefE21_1x_3)</f>
        <v>12641.6781875</v>
      </c>
      <c r="N44" s="1">
        <f>SUM(OSRRefE21_1x_4)</f>
        <v>9987.5105499999991</v>
      </c>
      <c r="O44" s="1">
        <f>SUM(OSRRefE21_1x_5)</f>
        <v>9388.3105500000001</v>
      </c>
      <c r="Q44" s="2">
        <f>SUM(OSRRefD20_1x)+IFERROR(SUM(OSRRefE20_1x),0)</f>
        <v>127832.42857500001</v>
      </c>
    </row>
    <row r="45" spans="1:17" s="35" customFormat="1" hidden="1" outlineLevel="1" x14ac:dyDescent="0.3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3">
      <c r="A46" s="34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1156</v>
      </c>
      <c r="I46" s="2">
        <v>1360</v>
      </c>
      <c r="J46" s="2">
        <v>2791.5381874999998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26068.938575</v>
      </c>
    </row>
    <row r="47" spans="1:17" s="35" customFormat="1" hidden="1" outlineLevel="1" x14ac:dyDescent="0.3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3">
      <c r="A48" s="34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3988.37</v>
      </c>
      <c r="I48" s="2">
        <v>2991.75</v>
      </c>
      <c r="J48" s="2">
        <v>4305.3999999999996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40130.31</v>
      </c>
    </row>
    <row r="49" spans="1:17" s="35" customFormat="1" hidden="1" outlineLevel="1" x14ac:dyDescent="0.3">
      <c r="A49" s="34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1088.5899999999999</v>
      </c>
      <c r="I49" s="2">
        <v>1871.67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6879.14</v>
      </c>
    </row>
    <row r="50" spans="1:17" s="35" customFormat="1" hidden="1" outlineLevel="1" x14ac:dyDescent="0.3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3">
      <c r="A51" s="34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1970.89</v>
      </c>
      <c r="I51" s="2">
        <v>2051.54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22363.449999999997</v>
      </c>
    </row>
    <row r="52" spans="1:17" s="35" customFormat="1" hidden="1" outlineLevel="1" x14ac:dyDescent="0.3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1014.28</v>
      </c>
      <c r="I52" s="2">
        <v>1113.6500000000001</v>
      </c>
      <c r="J52" s="2">
        <v>7111.22</v>
      </c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32390.589999999997</v>
      </c>
    </row>
    <row r="53" spans="1:17" s="35" customFormat="1" hidden="1" outlineLevel="1" x14ac:dyDescent="0.3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3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3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SUM(OSRRefD21_2x_4)</f>
        <v>6.62</v>
      </c>
      <c r="I55" s="1">
        <f>SUM(OSRRefD21_2x_5)</f>
        <v>0</v>
      </c>
      <c r="J55" s="1">
        <f>SUM(OSRRefE21_2x_0)</f>
        <v>200</v>
      </c>
      <c r="K55" s="1">
        <f>SUM(OSRRefE21_2x_1)</f>
        <v>200</v>
      </c>
      <c r="L55" s="1">
        <f>SUM(OSRRefE21_2x_2)</f>
        <v>200</v>
      </c>
      <c r="M55" s="1">
        <f>SUM(OSRRefE21_2x_3)</f>
        <v>200</v>
      </c>
      <c r="N55" s="1">
        <f>SUM(OSRRefE21_2x_4)</f>
        <v>200</v>
      </c>
      <c r="O55" s="1">
        <f>SUM(OSRRefE21_2x_5)</f>
        <v>200</v>
      </c>
      <c r="Q55" s="2">
        <f>SUM(OSRRefD20_2x)+IFERROR(SUM(OSRRefE20_2x),0)</f>
        <v>1318.13</v>
      </c>
    </row>
    <row r="56" spans="1:17" s="35" customFormat="1" hidden="1" outlineLevel="1" x14ac:dyDescent="0.3">
      <c r="A56" s="34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6.62</v>
      </c>
      <c r="I56" s="2"/>
      <c r="J56" s="2">
        <v>200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1318.13</v>
      </c>
    </row>
    <row r="57" spans="1:17" s="35" customFormat="1" collapsed="1" x14ac:dyDescent="0.3">
      <c r="A57" s="34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SUM(OSRRefD21_3x_4)</f>
        <v>280.44</v>
      </c>
      <c r="I57" s="1">
        <f>SUM(OSRRefD21_3x_5)</f>
        <v>280.44</v>
      </c>
      <c r="J57" s="1">
        <f>SUM(OSRRefE21_3x_0)</f>
        <v>0</v>
      </c>
      <c r="K57" s="1">
        <f>SUM(OSRRefE21_3x_1)</f>
        <v>0</v>
      </c>
      <c r="L57" s="1">
        <f>SUM(OSRRefE21_3x_2)</f>
        <v>0</v>
      </c>
      <c r="M57" s="1">
        <f>SUM(OSRRefE21_3x_3)</f>
        <v>0</v>
      </c>
      <c r="N57" s="1">
        <f>SUM(OSRRefE21_3x_4)</f>
        <v>0</v>
      </c>
      <c r="O57" s="1">
        <f>SUM(OSRRefE21_3x_5)</f>
        <v>0</v>
      </c>
      <c r="Q57" s="2">
        <f>SUM(OSRRefD20_3x)+IFERROR(SUM(OSRRefE20_3x),0)</f>
        <v>1682.64</v>
      </c>
    </row>
    <row r="58" spans="1:17" s="35" customFormat="1" hidden="1" outlineLevel="1" x14ac:dyDescent="0.3">
      <c r="A58" s="34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>
        <v>280.44</v>
      </c>
      <c r="I58" s="2">
        <v>280.44</v>
      </c>
      <c r="J58" s="2"/>
      <c r="K58" s="2"/>
      <c r="L58" s="2"/>
      <c r="M58" s="2"/>
      <c r="N58" s="2"/>
      <c r="O58" s="2"/>
      <c r="P58" s="9"/>
      <c r="Q58" s="2">
        <f>SUM(OSRRefD21_3_0x)+IFERROR(SUM(OSRRefE21_3_0x),0)</f>
        <v>1682.64</v>
      </c>
    </row>
    <row r="59" spans="1:17" s="35" customFormat="1" collapsed="1" x14ac:dyDescent="0.3">
      <c r="A59" s="34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SUM(OSRRefD21_4x_5)</f>
        <v>0</v>
      </c>
      <c r="J59" s="1">
        <f>SUM(OSRRefE21_4x_0)</f>
        <v>20</v>
      </c>
      <c r="K59" s="1">
        <f>SUM(OSRRefE21_4x_1)</f>
        <v>20</v>
      </c>
      <c r="L59" s="1">
        <f>SUM(OSRRefE21_4x_2)</f>
        <v>20</v>
      </c>
      <c r="M59" s="1">
        <f>SUM(OSRRefE21_4x_3)</f>
        <v>20</v>
      </c>
      <c r="N59" s="1">
        <f>SUM(OSRRefE21_4x_4)</f>
        <v>20</v>
      </c>
      <c r="O59" s="1">
        <f>SUM(OSRRefE21_4x_5)</f>
        <v>20</v>
      </c>
      <c r="Q59" s="2">
        <f>SUM(OSRRefD20_4x)+IFERROR(SUM(OSRRefE20_4x),0)</f>
        <v>120</v>
      </c>
    </row>
    <row r="60" spans="1:17" s="35" customFormat="1" hidden="1" outlineLevel="1" x14ac:dyDescent="0.3">
      <c r="A60" s="34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/>
      <c r="J60" s="2">
        <v>20</v>
      </c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120</v>
      </c>
    </row>
    <row r="61" spans="1:17" s="35" customFormat="1" collapsed="1" x14ac:dyDescent="0.3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SUM(OSRRefD21_5x_4)</f>
        <v>0.34</v>
      </c>
      <c r="I61" s="1">
        <f>SUM(OSRRefD21_5x_5)</f>
        <v>0</v>
      </c>
      <c r="J61" s="1">
        <f>SUM(OSRRefE21_5x_0)</f>
        <v>15</v>
      </c>
      <c r="K61" s="1">
        <f>SUM(OSRRefE21_5x_1)</f>
        <v>15</v>
      </c>
      <c r="L61" s="1">
        <f>SUM(OSRRefE21_5x_2)</f>
        <v>15</v>
      </c>
      <c r="M61" s="1">
        <f>SUM(OSRRefE21_5x_3)</f>
        <v>15</v>
      </c>
      <c r="N61" s="1">
        <f>SUM(OSRRefE21_5x_4)</f>
        <v>15</v>
      </c>
      <c r="O61" s="1">
        <f>SUM(OSRRefE21_5x_5)</f>
        <v>15</v>
      </c>
      <c r="Q61" s="2">
        <f>SUM(OSRRefD20_5x)+IFERROR(SUM(OSRRefE20_5x),0)</f>
        <v>212.13</v>
      </c>
    </row>
    <row r="62" spans="1:17" s="35" customFormat="1" hidden="1" outlineLevel="1" x14ac:dyDescent="0.3">
      <c r="A62" s="34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0.34</v>
      </c>
      <c r="I62" s="2"/>
      <c r="J62" s="2">
        <v>15</v>
      </c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212.13</v>
      </c>
    </row>
    <row r="63" spans="1:17" s="35" customFormat="1" collapsed="1" x14ac:dyDescent="0.3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SUM(OSRRefD21_6x_5)</f>
        <v>0</v>
      </c>
      <c r="J63" s="1">
        <f>SUM(OSRRefE21_6x_0)</f>
        <v>30</v>
      </c>
      <c r="K63" s="1">
        <f>SUM(OSRRefE21_6x_1)</f>
        <v>30</v>
      </c>
      <c r="L63" s="1">
        <f>SUM(OSRRefE21_6x_2)</f>
        <v>30</v>
      </c>
      <c r="M63" s="1">
        <f>SUM(OSRRefE21_6x_3)</f>
        <v>30</v>
      </c>
      <c r="N63" s="1">
        <f>SUM(OSRRefE21_6x_4)</f>
        <v>30</v>
      </c>
      <c r="O63" s="1">
        <f>SUM(OSRRefE21_6x_5)</f>
        <v>30</v>
      </c>
      <c r="Q63" s="2">
        <f>SUM(OSRRefD20_6x)+IFERROR(SUM(OSRRefE20_6x),0)</f>
        <v>180</v>
      </c>
    </row>
    <row r="64" spans="1:17" s="35" customFormat="1" hidden="1" outlineLevel="1" x14ac:dyDescent="0.3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/>
      <c r="J64" s="2">
        <v>30</v>
      </c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180</v>
      </c>
    </row>
    <row r="65" spans="1:17" s="35" customFormat="1" collapsed="1" x14ac:dyDescent="0.3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SUM(OSRRefD21_7x_4)</f>
        <v>630</v>
      </c>
      <c r="I65" s="1">
        <f>SUM(OSRRefD21_7x_5)</f>
        <v>340</v>
      </c>
      <c r="J65" s="1">
        <f>SUM(OSRRefE21_7x_0)</f>
        <v>970</v>
      </c>
      <c r="K65" s="1">
        <f>SUM(OSRRefE21_7x_1)</f>
        <v>590</v>
      </c>
      <c r="L65" s="1">
        <f>SUM(OSRRefE21_7x_2)</f>
        <v>340</v>
      </c>
      <c r="M65" s="1">
        <f>SUM(OSRRefE21_7x_3)</f>
        <v>1100</v>
      </c>
      <c r="N65" s="1">
        <f>SUM(OSRRefE21_7x_4)</f>
        <v>2100</v>
      </c>
      <c r="O65" s="1">
        <f>SUM(OSRRefE21_7x_5)</f>
        <v>550</v>
      </c>
      <c r="Q65" s="2">
        <f>SUM(OSRRefD20_7x)+IFERROR(SUM(OSRRefE20_7x),0)</f>
        <v>11290</v>
      </c>
    </row>
    <row r="66" spans="1:17" s="35" customFormat="1" hidden="1" outlineLevel="1" x14ac:dyDescent="0.3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5" customFormat="1" collapsed="1" x14ac:dyDescent="0.3">
      <c r="A67" s="34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SUM(OSRRefD21_8x_4)</f>
        <v>57.42</v>
      </c>
      <c r="I67" s="1">
        <f>SUM(OSRRefD21_8x_5)</f>
        <v>31.35</v>
      </c>
      <c r="J67" s="1">
        <f>SUM(OSRRefE21_8x_0)</f>
        <v>310</v>
      </c>
      <c r="K67" s="1">
        <f>SUM(OSRRefE21_8x_1)</f>
        <v>310</v>
      </c>
      <c r="L67" s="1">
        <f>SUM(OSRRefE21_8x_2)</f>
        <v>310</v>
      </c>
      <c r="M67" s="1">
        <f>SUM(OSRRefE21_8x_3)</f>
        <v>310</v>
      </c>
      <c r="N67" s="1">
        <f>SUM(OSRRefE21_8x_4)</f>
        <v>310</v>
      </c>
      <c r="O67" s="1">
        <f>SUM(OSRRefE21_8x_5)</f>
        <v>310</v>
      </c>
      <c r="Q67" s="2">
        <f>SUM(OSRRefD20_8x)+IFERROR(SUM(OSRRefE20_8x),0)</f>
        <v>5167.4599999999991</v>
      </c>
    </row>
    <row r="68" spans="1:17" s="35" customFormat="1" hidden="1" outlineLevel="1" x14ac:dyDescent="0.3">
      <c r="A68" s="34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57.42</v>
      </c>
      <c r="I68" s="2">
        <v>31.35</v>
      </c>
      <c r="J68" s="2">
        <v>110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1055.46</v>
      </c>
    </row>
    <row r="69" spans="1:17" s="35" customFormat="1" hidden="1" outlineLevel="1" x14ac:dyDescent="0.3">
      <c r="A69" s="34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/>
      <c r="I69" s="2"/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4112</v>
      </c>
    </row>
    <row r="70" spans="1:17" s="35" customFormat="1" collapsed="1" x14ac:dyDescent="0.3">
      <c r="A70" s="34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SUM(OSRRefD21_9x_4)</f>
        <v>205.5</v>
      </c>
      <c r="I70" s="1">
        <f>SUM(OSRRefD21_9x_5)</f>
        <v>206.95</v>
      </c>
      <c r="J70" s="1">
        <f>SUM(OSRRefE21_9x_0)</f>
        <v>325</v>
      </c>
      <c r="K70" s="1">
        <f>SUM(OSRRefE21_9x_1)</f>
        <v>325</v>
      </c>
      <c r="L70" s="1">
        <f>SUM(OSRRefE21_9x_2)</f>
        <v>325</v>
      </c>
      <c r="M70" s="1">
        <f>SUM(OSRRefE21_9x_3)</f>
        <v>325</v>
      </c>
      <c r="N70" s="1">
        <f>SUM(OSRRefE21_9x_4)</f>
        <v>325</v>
      </c>
      <c r="O70" s="1">
        <f>SUM(OSRRefE21_9x_5)</f>
        <v>325</v>
      </c>
      <c r="Q70" s="2">
        <f>SUM(OSRRefD20_9x)+IFERROR(SUM(OSRRefE20_9x),0)</f>
        <v>3212.3500000000004</v>
      </c>
    </row>
    <row r="71" spans="1:17" s="35" customFormat="1" hidden="1" outlineLevel="1" x14ac:dyDescent="0.3">
      <c r="A71" s="34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205.5</v>
      </c>
      <c r="I71" s="2">
        <v>206.95</v>
      </c>
      <c r="J71" s="2">
        <v>325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3212.3500000000004</v>
      </c>
    </row>
    <row r="72" spans="1:17" s="29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3"/>
      <c r="B73" s="16" t="s">
        <v>293</v>
      </c>
      <c r="C73" s="22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f>-88.84</f>
        <v>-88.84</v>
      </c>
      <c r="I73" s="3">
        <f>--879.62</f>
        <v>879.62</v>
      </c>
      <c r="J73" s="3">
        <v>1540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11264.03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7">
        <f t="shared" ref="D75:O75" si="3">IFERROR(+D29-D32+D73, 0)</f>
        <v>-3756.4600000000146</v>
      </c>
      <c r="E75" s="7">
        <f t="shared" si="3"/>
        <v>39728.07</v>
      </c>
      <c r="F75" s="7">
        <f t="shared" si="3"/>
        <v>45781.109999999971</v>
      </c>
      <c r="G75" s="7">
        <f t="shared" si="3"/>
        <v>-18125.249999999993</v>
      </c>
      <c r="H75" s="7">
        <f t="shared" si="3"/>
        <v>-3242.8400000000074</v>
      </c>
      <c r="I75" s="7">
        <f t="shared" si="3"/>
        <v>1962.4199999999864</v>
      </c>
      <c r="J75" s="7">
        <f t="shared" si="3"/>
        <v>1546.9643249125002</v>
      </c>
      <c r="K75" s="7">
        <f t="shared" si="3"/>
        <v>-2285.0134888700013</v>
      </c>
      <c r="L75" s="7">
        <f t="shared" si="3"/>
        <v>-1918.0134888700013</v>
      </c>
      <c r="M75" s="7">
        <f t="shared" si="3"/>
        <v>6129.1654209125008</v>
      </c>
      <c r="N75" s="7">
        <f t="shared" si="3"/>
        <v>26011.266523130002</v>
      </c>
      <c r="O75" s="7">
        <f t="shared" si="3"/>
        <v>-67.936099669999749</v>
      </c>
      <c r="Q75" s="7">
        <f>IFERROR(+Q29-Q32+Q73, 0)</f>
        <v>91763.483191545034</v>
      </c>
    </row>
    <row r="76" spans="1:17" s="6" customFormat="1" x14ac:dyDescent="0.3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-3.5047211777308858E-2</v>
      </c>
      <c r="I76" s="4">
        <f t="shared" si="4"/>
        <v>1.4695115773402984E-2</v>
      </c>
      <c r="J76" s="4">
        <f t="shared" si="4"/>
        <v>8.4599677612150481E-3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4.4431695442333774E-2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13627.98</v>
      </c>
      <c r="I78" s="3">
        <v>17123.53</v>
      </c>
      <c r="J78" s="3">
        <v>17954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221841.40999999997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8">
        <f t="shared" ref="D80:O80" si="5">IFERROR(+D75-D78, 0)</f>
        <v>-47787.580000000016</v>
      </c>
      <c r="E80" s="8">
        <f t="shared" si="5"/>
        <v>18205.919999999998</v>
      </c>
      <c r="F80" s="8">
        <f t="shared" si="5"/>
        <v>35393.099999999969</v>
      </c>
      <c r="G80" s="8">
        <f t="shared" si="5"/>
        <v>-27788.869999999995</v>
      </c>
      <c r="H80" s="8">
        <f t="shared" si="5"/>
        <v>-16870.820000000007</v>
      </c>
      <c r="I80" s="8">
        <f t="shared" si="5"/>
        <v>-15161.110000000011</v>
      </c>
      <c r="J80" s="8">
        <f t="shared" si="5"/>
        <v>-16407.0356750875</v>
      </c>
      <c r="K80" s="8">
        <f t="shared" si="5"/>
        <v>-11151.013488870001</v>
      </c>
      <c r="L80" s="8">
        <f t="shared" si="5"/>
        <v>-14451.013488870001</v>
      </c>
      <c r="M80" s="8">
        <f t="shared" si="5"/>
        <v>-21194.834579087499</v>
      </c>
      <c r="N80" s="8">
        <f t="shared" si="5"/>
        <v>-23775.733476869998</v>
      </c>
      <c r="O80" s="8">
        <f t="shared" si="5"/>
        <v>10911.06390033</v>
      </c>
      <c r="Q80" s="8">
        <f>IFERROR(+Q75-Q78, 0)</f>
        <v>-130077.92680845494</v>
      </c>
    </row>
    <row r="81" spans="1:17" ht="15" thickTop="1" x14ac:dyDescent="0.3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-0.1823325237744868</v>
      </c>
      <c r="I81" s="4">
        <f t="shared" si="6"/>
        <v>-0.11353036898487553</v>
      </c>
      <c r="J81" s="4">
        <f t="shared" si="6"/>
        <v>-8.9726046446608546E-2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-6.2983472583089312E-2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8">
        <f t="shared" ref="D84:O84" si="7">IFERROR(SUM(D80:D83), 0)</f>
        <v>-47788.081410504885</v>
      </c>
      <c r="E84" s="8">
        <f t="shared" si="7"/>
        <v>18205.973020737732</v>
      </c>
      <c r="F84" s="8">
        <f t="shared" si="7"/>
        <v>35393.302408200681</v>
      </c>
      <c r="G84" s="8">
        <f t="shared" si="7"/>
        <v>-27789.088741397871</v>
      </c>
      <c r="H84" s="8">
        <f t="shared" si="7"/>
        <v>-16871.002332523782</v>
      </c>
      <c r="I84" s="8">
        <f t="shared" si="7"/>
        <v>-15161.223530368996</v>
      </c>
      <c r="J84" s="8">
        <f t="shared" si="7"/>
        <v>-16407.125401133948</v>
      </c>
      <c r="K84" s="8">
        <f t="shared" si="7"/>
        <v>-11151.117998921633</v>
      </c>
      <c r="L84" s="8">
        <f t="shared" si="7"/>
        <v>-14451.146592061388</v>
      </c>
      <c r="M84" s="8">
        <f t="shared" si="7"/>
        <v>-21194.937351887671</v>
      </c>
      <c r="N84" s="8">
        <f t="shared" si="7"/>
        <v>-23775.794765590843</v>
      </c>
      <c r="O84" s="8">
        <f t="shared" si="7"/>
        <v>10911.166509642935</v>
      </c>
      <c r="Q84" s="8">
        <f>IFERROR(SUM(Q80:Q83), 0)</f>
        <v>-130077.98979192752</v>
      </c>
    </row>
    <row r="85" spans="1:17" ht="15" thickTop="1" x14ac:dyDescent="0.3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-0.18233449434552162</v>
      </c>
      <c r="I85" s="4">
        <f t="shared" si="8"/>
        <v>-0.11353121913006159</v>
      </c>
      <c r="J85" s="4">
        <f t="shared" si="8"/>
        <v>-8.9726537136308418E-2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-6.2983503079561048E-2</v>
      </c>
    </row>
    <row r="86" spans="1:17" x14ac:dyDescent="0.3">
      <c r="A86" s="5"/>
      <c r="B86" s="28">
        <v>44575.850679432871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A87" s="5"/>
      <c r="B87" s="26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3">
      <c r="A88" s="5"/>
      <c r="B88" s="3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3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","317", " - ", "Computer Store")</f>
        <v>Department 317 - Computer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SUM(OSRRefD11x_4)</f>
        <v>92527.76</v>
      </c>
      <c r="I10" s="3">
        <f>SUM(OSRRefD11x_5)</f>
        <v>133542.32999999999</v>
      </c>
      <c r="J10" s="3">
        <f>SUM(OSRRefE11x_0)</f>
        <v>182857</v>
      </c>
      <c r="K10" s="3">
        <f>SUM(OSRRefE11x_1)</f>
        <v>106698</v>
      </c>
      <c r="L10" s="3">
        <f>SUM(OSRRefE11x_2)</f>
        <v>108570</v>
      </c>
      <c r="M10" s="3">
        <f>SUM(OSRRefE11x_3)</f>
        <v>206230</v>
      </c>
      <c r="N10" s="3">
        <f>SUM(OSRRefE11x_4)</f>
        <v>387930</v>
      </c>
      <c r="O10" s="3">
        <f>SUM(OSRRefE11x_5)</f>
        <v>106336</v>
      </c>
      <c r="P10" s="24"/>
      <c r="Q10" s="3">
        <f>SUM(OSRRefG11x)</f>
        <v>2065270.8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f>--101601.44</f>
        <v>101601.44</v>
      </c>
      <c r="I11" s="2">
        <f>--134314.8</f>
        <v>134314.79999999999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1837667.75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f>--34580</f>
        <v>34580</v>
      </c>
      <c r="I12" s="2">
        <f>--38625.69</f>
        <v>38625.69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419767.58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>
        <f>-43602.29</f>
        <v>-43602.29</v>
      </c>
      <c r="I13" s="2">
        <f>-39012.77</f>
        <v>-39012.769999999997</v>
      </c>
      <c r="J13" s="2"/>
      <c r="K13" s="2"/>
      <c r="L13" s="2"/>
      <c r="M13" s="2"/>
      <c r="N13" s="2"/>
      <c r="O13" s="2"/>
      <c r="Q13" s="2">
        <f>SUM(OSRRefD11_2x)+IFERROR(SUM(OSRRefE11_2x),0)</f>
        <v>-190982.41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>
        <f>-14.99</f>
        <v>-14.99</v>
      </c>
      <c r="I14" s="2">
        <f>0</f>
        <v>0</v>
      </c>
      <c r="J14" s="2"/>
      <c r="K14" s="2"/>
      <c r="L14" s="2"/>
      <c r="M14" s="2"/>
      <c r="N14" s="2"/>
      <c r="O14" s="2"/>
      <c r="Q14" s="2">
        <f>SUM(OSRRefD11_3x)+IFERROR(SUM(OSRRefE11_3x),0)</f>
        <v>-704.79000000000008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>
        <f>-36.4</f>
        <v>-36.4</v>
      </c>
      <c r="I15" s="2">
        <f>-385.39</f>
        <v>-385.39</v>
      </c>
      <c r="J15" s="2"/>
      <c r="K15" s="2"/>
      <c r="L15" s="2"/>
      <c r="M15" s="2"/>
      <c r="N15" s="2"/>
      <c r="O15" s="2"/>
      <c r="Q15" s="2">
        <f>SUM(OSRRefD11_4x)+IFERROR(SUM(OSRRefE11_4x),0)</f>
        <v>-477.33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SUM(OSRRefD14x_4)</f>
        <v>82925.39</v>
      </c>
      <c r="I17" s="3">
        <f>SUM(OSRRefD14x_5)</f>
        <v>119832.5</v>
      </c>
      <c r="J17" s="3">
        <f>SUM(OSRRefE14x_0)</f>
        <v>163656</v>
      </c>
      <c r="K17" s="3">
        <f>SUM(OSRRefE14x_1)</f>
        <v>95495</v>
      </c>
      <c r="L17" s="3">
        <f>SUM(OSRRefE14x_2)</f>
        <v>97170</v>
      </c>
      <c r="M17" s="3">
        <f>SUM(OSRRefE14x_3)</f>
        <v>184575</v>
      </c>
      <c r="N17" s="3">
        <f>SUM(OSRRefE14x_4)</f>
        <v>347197</v>
      </c>
      <c r="O17" s="3">
        <f>SUM(OSRRefE14x_5)</f>
        <v>95171</v>
      </c>
      <c r="Q17" s="3">
        <f>SUM(OSRRefG14x)</f>
        <v>1805756.23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97362.54</v>
      </c>
      <c r="E18" s="2">
        <v>285773.33</v>
      </c>
      <c r="F18" s="2">
        <v>169066.36</v>
      </c>
      <c r="G18" s="2">
        <v>134649.96</v>
      </c>
      <c r="H18" s="2">
        <v>56710.32</v>
      </c>
      <c r="I18" s="2">
        <v>183675.67</v>
      </c>
      <c r="J18" s="2">
        <v>163656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1910502.18</v>
      </c>
    </row>
    <row r="19" spans="1:17" s="9" customFormat="1" hidden="1" outlineLevel="1" x14ac:dyDescent="0.3">
      <c r="A19" s="23"/>
      <c r="B19" s="10" t="str">
        <f>CONCATENATE("          ","5081", " - ","PURCHASES @ COST-ELECTRONICS")</f>
        <v xml:space="preserve">          5081 - PURCHASES @ COST-ELECTRONICS</v>
      </c>
      <c r="C19" s="22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","5082", " - ","PURCHASES @ COST-COMPUTER HARD")</f>
        <v xml:space="preserve">          5082 - PURCHASES @ COST-COMPUTER HARD</v>
      </c>
      <c r="C20" s="22"/>
      <c r="D20" s="2">
        <v>-10902.62</v>
      </c>
      <c r="E20" s="2">
        <v>-23501.200000000001</v>
      </c>
      <c r="F20" s="2">
        <v>-22380.03</v>
      </c>
      <c r="G20" s="2">
        <v>-20540.88</v>
      </c>
      <c r="H20" s="2">
        <v>-3384.72</v>
      </c>
      <c r="I20" s="2">
        <v>-6160.03</v>
      </c>
      <c r="J20" s="2"/>
      <c r="K20" s="2"/>
      <c r="L20" s="2"/>
      <c r="M20" s="2"/>
      <c r="N20" s="2"/>
      <c r="O20" s="2"/>
      <c r="Q20" s="2">
        <f>SUM(OSRRefD14_2x)+IFERROR(SUM(OSRRefE14_2x),0)</f>
        <v>-86869.48</v>
      </c>
    </row>
    <row r="21" spans="1:17" s="9" customFormat="1" hidden="1" outlineLevel="1" x14ac:dyDescent="0.3">
      <c r="A21" s="23"/>
      <c r="B21" s="10" t="str">
        <f>CONCATENATE("          ","5083", " - ","PURCHASES @ COST-COMPUTER EQUI")</f>
        <v xml:space="preserve">          5083 - PURCHASES @ COST-COMPUTER EQUI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","5085", " - ","PURCHASES @ COST-SOFTWARE")</f>
        <v xml:space="preserve">          5085 - PURCHASES @ COST-SOFTWARE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","5086", " - ","PURCHASES @ COST-COMPUTER SUPP")</f>
        <v xml:space="preserve">          5086 - PURCHASES @ COST-COMPUTER SUPP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","5200", " - ","PURCHASES OFFSET")</f>
        <v xml:space="preserve">          5200 - PURCHASES OFFSET</v>
      </c>
      <c r="C24" s="22"/>
      <c r="D24" s="2">
        <v>-97382.65</v>
      </c>
      <c r="E24" s="2">
        <v>-285788.87</v>
      </c>
      <c r="F24" s="2">
        <v>-169066.36</v>
      </c>
      <c r="G24" s="2">
        <v>-134658.5</v>
      </c>
      <c r="H24" s="2">
        <v>-56710.32</v>
      </c>
      <c r="I24" s="2">
        <v>-183675.67</v>
      </c>
      <c r="J24" s="2"/>
      <c r="K24" s="2"/>
      <c r="L24" s="2"/>
      <c r="M24" s="2"/>
      <c r="N24" s="2"/>
      <c r="O24" s="2"/>
      <c r="Q24" s="2">
        <f>SUM(OSRRefD14_6x)+IFERROR(SUM(OSRRefE14_6x),0)</f>
        <v>-927282.37</v>
      </c>
    </row>
    <row r="25" spans="1:17" s="9" customFormat="1" hidden="1" outlineLevel="1" x14ac:dyDescent="0.3">
      <c r="A25" s="23"/>
      <c r="B25" s="10" t="str">
        <f>CONCATENATE("          ","5300", " - ","COG$ OFFSET")</f>
        <v xml:space="preserve">          5300 - COG$ OFFSET</v>
      </c>
      <c r="C25" s="22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>
        <v>86310.11</v>
      </c>
      <c r="I25" s="2">
        <v>125992.53</v>
      </c>
      <c r="J25" s="2"/>
      <c r="K25" s="2"/>
      <c r="L25" s="2"/>
      <c r="M25" s="2"/>
      <c r="N25" s="2"/>
      <c r="O25" s="2"/>
      <c r="Q25" s="2">
        <f>SUM(OSRRefD14_7x)+IFERROR(SUM(OSRRefE14_7x),0)</f>
        <v>909361.71000000008</v>
      </c>
    </row>
    <row r="26" spans="1:17" s="9" customFormat="1" hidden="1" outlineLevel="1" x14ac:dyDescent="0.3">
      <c r="A26" s="23"/>
      <c r="B26" s="10" t="str">
        <f>CONCATENATE("          ","5500", " - ","FREIGHT-IN")</f>
        <v xml:space="preserve">          5500 - FREIGHT-IN</v>
      </c>
      <c r="C26" s="22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44.19</v>
      </c>
    </row>
    <row r="27" spans="1:17" s="9" customFormat="1" hidden="1" outlineLevel="1" x14ac:dyDescent="0.3">
      <c r="A27" s="23"/>
      <c r="B27" s="10" t="str">
        <f>CONCATENATE("          ","5583", " - ","FREIGHT-IN-COMPUTER EQUIPMENT")</f>
        <v xml:space="preserve">          5583 - FREIGHT-IN-COMPUTER EQUIPMENT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12934.829999999987</v>
      </c>
      <c r="E29" s="7">
        <f t="shared" si="1"/>
        <v>51580.44</v>
      </c>
      <c r="F29" s="7">
        <f t="shared" si="1"/>
        <v>57602.059999999969</v>
      </c>
      <c r="G29" s="7">
        <f t="shared" si="1"/>
        <v>-1271.9599999999919</v>
      </c>
      <c r="H29" s="7">
        <f t="shared" si="1"/>
        <v>9602.3699999999953</v>
      </c>
      <c r="I29" s="7">
        <f t="shared" si="1"/>
        <v>13709.829999999987</v>
      </c>
      <c r="J29" s="7">
        <f t="shared" si="1"/>
        <v>19201</v>
      </c>
      <c r="K29" s="7">
        <f t="shared" si="1"/>
        <v>11203</v>
      </c>
      <c r="L29" s="7">
        <f t="shared" si="1"/>
        <v>11400</v>
      </c>
      <c r="M29" s="7">
        <f t="shared" si="1"/>
        <v>21655</v>
      </c>
      <c r="N29" s="7">
        <f t="shared" si="1"/>
        <v>40733</v>
      </c>
      <c r="O29" s="7">
        <f t="shared" si="1"/>
        <v>11165</v>
      </c>
      <c r="Q29" s="7">
        <f>IFERROR(+Q10-Q17, 0)</f>
        <v>259514.57000000007</v>
      </c>
    </row>
    <row r="30" spans="1:17" s="6" customFormat="1" x14ac:dyDescent="0.3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0.10377826070792155</v>
      </c>
      <c r="I30" s="4">
        <f t="shared" si="2"/>
        <v>0.10266280362189269</v>
      </c>
      <c r="J30" s="4">
        <f t="shared" si="2"/>
        <v>0.10500555078558656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0.12565643691858716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16884.670000000002</v>
      </c>
      <c r="E32" s="12">
        <f>SUM(OSRRefD20x_1)</f>
        <v>14040.32</v>
      </c>
      <c r="F32" s="12">
        <f>SUM(OSRRefD20x_2)</f>
        <v>12211.060000000001</v>
      </c>
      <c r="G32" s="12">
        <f>SUM(OSRRefD20x_3)</f>
        <v>15889.100000000002</v>
      </c>
      <c r="H32" s="12">
        <f>SUM(OSRRefD20x_4)</f>
        <v>12756.370000000003</v>
      </c>
      <c r="I32" s="12">
        <f>SUM(OSRRefD20x_5)</f>
        <v>12627.03</v>
      </c>
      <c r="J32" s="12">
        <f>SUM(OSRRefE20x_0)</f>
        <v>19194.0356750875</v>
      </c>
      <c r="K32" s="12">
        <f>SUM(OSRRefE20x_1)</f>
        <v>14386.013488870001</v>
      </c>
      <c r="L32" s="12">
        <f>SUM(OSRRefE20x_2)</f>
        <v>14136.013488870001</v>
      </c>
      <c r="M32" s="12">
        <f>SUM(OSRRefE20x_3)</f>
        <v>17682.834579087499</v>
      </c>
      <c r="N32" s="12">
        <f>SUM(OSRRefE20x_4)</f>
        <v>15550.733476869998</v>
      </c>
      <c r="O32" s="12">
        <f>SUM(OSRRefE20x_5)</f>
        <v>13656.93609967</v>
      </c>
      <c r="Q32" s="12">
        <f>SUM(OSRRefG20x)</f>
        <v>179015.11680845503</v>
      </c>
    </row>
    <row r="33" spans="1:17" s="35" customFormat="1" collapsed="1" x14ac:dyDescent="0.3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SUM(OSRRefD21_0x_4)</f>
        <v>2357.9199999999996</v>
      </c>
      <c r="I33" s="1">
        <f>SUM(OSRRefD21_0x_5)</f>
        <v>2379.6800000000003</v>
      </c>
      <c r="J33" s="1">
        <f>SUM(OSRRefE21_0x_0)</f>
        <v>3115.8774875875001</v>
      </c>
      <c r="K33" s="1">
        <f>SUM(OSRRefE21_0x_1)</f>
        <v>2578.94293887</v>
      </c>
      <c r="L33" s="1">
        <f>SUM(OSRRefE21_0x_2)</f>
        <v>2578.94293887</v>
      </c>
      <c r="M33" s="1">
        <f>SUM(OSRRefE21_0x_3)</f>
        <v>3041.1563915874999</v>
      </c>
      <c r="N33" s="1">
        <f>SUM(OSRRefE21_0x_4)</f>
        <v>2563.2229268699998</v>
      </c>
      <c r="O33" s="1">
        <f>SUM(OSRRefE21_0x_5)</f>
        <v>2818.6255496700001</v>
      </c>
      <c r="Q33" s="2">
        <f>SUM(OSRRefD20_0x)+IFERROR(SUM(OSRRefE20_0x),0)</f>
        <v>27999.978233455004</v>
      </c>
    </row>
    <row r="34" spans="1:17" s="35" customFormat="1" hidden="1" outlineLevel="1" x14ac:dyDescent="0.3">
      <c r="A34" s="34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475.62</v>
      </c>
      <c r="I34" s="2">
        <v>494.27</v>
      </c>
      <c r="J34" s="2">
        <v>571.71439946249996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6560.8093400050002</v>
      </c>
    </row>
    <row r="35" spans="1:17" s="35" customFormat="1" hidden="1" outlineLevel="1" x14ac:dyDescent="0.3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124.44</v>
      </c>
      <c r="I35" s="2">
        <v>142.52000000000001</v>
      </c>
      <c r="J35" s="2">
        <v>227.47422750000001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1950.2330486000001</v>
      </c>
    </row>
    <row r="36" spans="1:17" s="35" customFormat="1" hidden="1" outlineLevel="1" x14ac:dyDescent="0.3">
      <c r="A36" s="34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853.84</v>
      </c>
      <c r="I36" s="2">
        <v>853.84</v>
      </c>
      <c r="J36" s="2">
        <v>1096.5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9717.41</v>
      </c>
    </row>
    <row r="37" spans="1:17" s="35" customFormat="1" hidden="1" outlineLevel="1" x14ac:dyDescent="0.3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21.86</v>
      </c>
      <c r="I37" s="2">
        <v>25.04</v>
      </c>
      <c r="J37" s="2">
        <v>30.621530624999998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298.54444884999998</v>
      </c>
    </row>
    <row r="38" spans="1:17" s="35" customFormat="1" hidden="1" outlineLevel="1" x14ac:dyDescent="0.3">
      <c r="A38" s="34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103.22</v>
      </c>
      <c r="I38" s="2">
        <v>103.22</v>
      </c>
      <c r="J38" s="2">
        <v>252.70766750000001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2001.7998710000002</v>
      </c>
    </row>
    <row r="39" spans="1:17" s="35" customFormat="1" hidden="1" outlineLevel="1" x14ac:dyDescent="0.3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3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>
        <v>120</v>
      </c>
      <c r="I40" s="2">
        <v>120</v>
      </c>
      <c r="J40" s="2"/>
      <c r="K40" s="2"/>
      <c r="L40" s="2"/>
      <c r="M40" s="2"/>
      <c r="N40" s="2"/>
      <c r="O40" s="2"/>
      <c r="P40" s="9"/>
      <c r="Q40" s="2">
        <f>SUM(OSRRefD21_0_6x)+IFERROR(SUM(OSRRefE21_0_6x),0)</f>
        <v>-417.33999999999992</v>
      </c>
    </row>
    <row r="41" spans="1:17" s="35" customFormat="1" hidden="1" outlineLevel="1" x14ac:dyDescent="0.3">
      <c r="A41" s="34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222.3</v>
      </c>
      <c r="I41" s="2">
        <v>227.57</v>
      </c>
      <c r="J41" s="2">
        <v>224.11383749999999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2180.8619550000003</v>
      </c>
    </row>
    <row r="42" spans="1:17" s="35" customFormat="1" hidden="1" outlineLevel="1" x14ac:dyDescent="0.3">
      <c r="A42" s="34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216.23</v>
      </c>
      <c r="I42" s="2">
        <v>216.23</v>
      </c>
      <c r="J42" s="2">
        <v>362.74582500000002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2722.5095700000002</v>
      </c>
    </row>
    <row r="43" spans="1:17" s="35" customFormat="1" hidden="1" outlineLevel="1" x14ac:dyDescent="0.3">
      <c r="A43" s="34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220.41</v>
      </c>
      <c r="I43" s="2">
        <v>196.99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2985.15</v>
      </c>
    </row>
    <row r="44" spans="1:17" s="35" customFormat="1" collapsed="1" x14ac:dyDescent="0.3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SUM(OSRRefD21_1x_4)</f>
        <v>9218.130000000001</v>
      </c>
      <c r="I44" s="1">
        <f>SUM(OSRRefD21_1x_5)</f>
        <v>9388.6099999999988</v>
      </c>
      <c r="J44" s="1">
        <f>SUM(OSRRefE21_1x_0)</f>
        <v>14208.158187500001</v>
      </c>
      <c r="K44" s="1">
        <f>SUM(OSRRefE21_1x_1)</f>
        <v>10317.07055</v>
      </c>
      <c r="L44" s="1">
        <f>SUM(OSRRefE21_1x_2)</f>
        <v>10317.07055</v>
      </c>
      <c r="M44" s="1">
        <f>SUM(OSRRefE21_1x_3)</f>
        <v>12641.6781875</v>
      </c>
      <c r="N44" s="1">
        <f>SUM(OSRRefE21_1x_4)</f>
        <v>9987.5105499999991</v>
      </c>
      <c r="O44" s="1">
        <f>SUM(OSRRefE21_1x_5)</f>
        <v>9388.3105500000001</v>
      </c>
      <c r="Q44" s="2">
        <f>SUM(OSRRefD20_1x)+IFERROR(SUM(OSRRefE20_1x),0)</f>
        <v>127832.42857500001</v>
      </c>
    </row>
    <row r="45" spans="1:17" s="35" customFormat="1" hidden="1" outlineLevel="1" x14ac:dyDescent="0.3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3">
      <c r="A46" s="34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1156</v>
      </c>
      <c r="I46" s="2">
        <v>1360</v>
      </c>
      <c r="J46" s="2">
        <v>2791.5381874999998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26068.938575</v>
      </c>
    </row>
    <row r="47" spans="1:17" s="35" customFormat="1" hidden="1" outlineLevel="1" x14ac:dyDescent="0.3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3">
      <c r="A48" s="34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3988.37</v>
      </c>
      <c r="I48" s="2">
        <v>2991.75</v>
      </c>
      <c r="J48" s="2">
        <v>4305.3999999999996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40130.31</v>
      </c>
    </row>
    <row r="49" spans="1:17" s="35" customFormat="1" hidden="1" outlineLevel="1" x14ac:dyDescent="0.3">
      <c r="A49" s="34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1088.5899999999999</v>
      </c>
      <c r="I49" s="2">
        <v>1871.67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6879.14</v>
      </c>
    </row>
    <row r="50" spans="1:17" s="35" customFormat="1" hidden="1" outlineLevel="1" x14ac:dyDescent="0.3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3">
      <c r="A51" s="34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1970.89</v>
      </c>
      <c r="I51" s="2">
        <v>2051.54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22363.449999999997</v>
      </c>
    </row>
    <row r="52" spans="1:17" s="35" customFormat="1" hidden="1" outlineLevel="1" x14ac:dyDescent="0.3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1014.28</v>
      </c>
      <c r="I52" s="2">
        <v>1113.6500000000001</v>
      </c>
      <c r="J52" s="2">
        <v>7111.22</v>
      </c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32390.589999999997</v>
      </c>
    </row>
    <row r="53" spans="1:17" s="35" customFormat="1" hidden="1" outlineLevel="1" x14ac:dyDescent="0.3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3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3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SUM(OSRRefD21_2x_4)</f>
        <v>6.62</v>
      </c>
      <c r="I55" s="1">
        <f>SUM(OSRRefD21_2x_5)</f>
        <v>0</v>
      </c>
      <c r="J55" s="1">
        <f>SUM(OSRRefE21_2x_0)</f>
        <v>200</v>
      </c>
      <c r="K55" s="1">
        <f>SUM(OSRRefE21_2x_1)</f>
        <v>200</v>
      </c>
      <c r="L55" s="1">
        <f>SUM(OSRRefE21_2x_2)</f>
        <v>200</v>
      </c>
      <c r="M55" s="1">
        <f>SUM(OSRRefE21_2x_3)</f>
        <v>200</v>
      </c>
      <c r="N55" s="1">
        <f>SUM(OSRRefE21_2x_4)</f>
        <v>200</v>
      </c>
      <c r="O55" s="1">
        <f>SUM(OSRRefE21_2x_5)</f>
        <v>200</v>
      </c>
      <c r="Q55" s="2">
        <f>SUM(OSRRefD20_2x)+IFERROR(SUM(OSRRefE20_2x),0)</f>
        <v>1318.13</v>
      </c>
    </row>
    <row r="56" spans="1:17" s="35" customFormat="1" hidden="1" outlineLevel="1" x14ac:dyDescent="0.3">
      <c r="A56" s="34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6.62</v>
      </c>
      <c r="I56" s="2"/>
      <c r="J56" s="2">
        <v>200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1318.13</v>
      </c>
    </row>
    <row r="57" spans="1:17" s="35" customFormat="1" collapsed="1" x14ac:dyDescent="0.3">
      <c r="A57" s="34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SUM(OSRRefD21_3x_4)</f>
        <v>280.44</v>
      </c>
      <c r="I57" s="1">
        <f>SUM(OSRRefD21_3x_5)</f>
        <v>280.44</v>
      </c>
      <c r="J57" s="1">
        <f>SUM(OSRRefE21_3x_0)</f>
        <v>0</v>
      </c>
      <c r="K57" s="1">
        <f>SUM(OSRRefE21_3x_1)</f>
        <v>0</v>
      </c>
      <c r="L57" s="1">
        <f>SUM(OSRRefE21_3x_2)</f>
        <v>0</v>
      </c>
      <c r="M57" s="1">
        <f>SUM(OSRRefE21_3x_3)</f>
        <v>0</v>
      </c>
      <c r="N57" s="1">
        <f>SUM(OSRRefE21_3x_4)</f>
        <v>0</v>
      </c>
      <c r="O57" s="1">
        <f>SUM(OSRRefE21_3x_5)</f>
        <v>0</v>
      </c>
      <c r="Q57" s="2">
        <f>SUM(OSRRefD20_3x)+IFERROR(SUM(OSRRefE20_3x),0)</f>
        <v>1682.64</v>
      </c>
    </row>
    <row r="58" spans="1:17" s="35" customFormat="1" hidden="1" outlineLevel="1" x14ac:dyDescent="0.3">
      <c r="A58" s="34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>
        <v>280.44</v>
      </c>
      <c r="I58" s="2">
        <v>280.44</v>
      </c>
      <c r="J58" s="2"/>
      <c r="K58" s="2"/>
      <c r="L58" s="2"/>
      <c r="M58" s="2"/>
      <c r="N58" s="2"/>
      <c r="O58" s="2"/>
      <c r="P58" s="9"/>
      <c r="Q58" s="2">
        <f>SUM(OSRRefD21_3_0x)+IFERROR(SUM(OSRRefE21_3_0x),0)</f>
        <v>1682.64</v>
      </c>
    </row>
    <row r="59" spans="1:17" s="35" customFormat="1" collapsed="1" x14ac:dyDescent="0.3">
      <c r="A59" s="34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SUM(OSRRefD21_4x_5)</f>
        <v>0</v>
      </c>
      <c r="J59" s="1">
        <f>SUM(OSRRefE21_4x_0)</f>
        <v>20</v>
      </c>
      <c r="K59" s="1">
        <f>SUM(OSRRefE21_4x_1)</f>
        <v>20</v>
      </c>
      <c r="L59" s="1">
        <f>SUM(OSRRefE21_4x_2)</f>
        <v>20</v>
      </c>
      <c r="M59" s="1">
        <f>SUM(OSRRefE21_4x_3)</f>
        <v>20</v>
      </c>
      <c r="N59" s="1">
        <f>SUM(OSRRefE21_4x_4)</f>
        <v>20</v>
      </c>
      <c r="O59" s="1">
        <f>SUM(OSRRefE21_4x_5)</f>
        <v>20</v>
      </c>
      <c r="Q59" s="2">
        <f>SUM(OSRRefD20_4x)+IFERROR(SUM(OSRRefE20_4x),0)</f>
        <v>120</v>
      </c>
    </row>
    <row r="60" spans="1:17" s="35" customFormat="1" hidden="1" outlineLevel="1" x14ac:dyDescent="0.3">
      <c r="A60" s="34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/>
      <c r="J60" s="2">
        <v>20</v>
      </c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120</v>
      </c>
    </row>
    <row r="61" spans="1:17" s="35" customFormat="1" collapsed="1" x14ac:dyDescent="0.3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SUM(OSRRefD21_5x_4)</f>
        <v>0.34</v>
      </c>
      <c r="I61" s="1">
        <f>SUM(OSRRefD21_5x_5)</f>
        <v>0</v>
      </c>
      <c r="J61" s="1">
        <f>SUM(OSRRefE21_5x_0)</f>
        <v>15</v>
      </c>
      <c r="K61" s="1">
        <f>SUM(OSRRefE21_5x_1)</f>
        <v>15</v>
      </c>
      <c r="L61" s="1">
        <f>SUM(OSRRefE21_5x_2)</f>
        <v>15</v>
      </c>
      <c r="M61" s="1">
        <f>SUM(OSRRefE21_5x_3)</f>
        <v>15</v>
      </c>
      <c r="N61" s="1">
        <f>SUM(OSRRefE21_5x_4)</f>
        <v>15</v>
      </c>
      <c r="O61" s="1">
        <f>SUM(OSRRefE21_5x_5)</f>
        <v>15</v>
      </c>
      <c r="Q61" s="2">
        <f>SUM(OSRRefD20_5x)+IFERROR(SUM(OSRRefE20_5x),0)</f>
        <v>212.13</v>
      </c>
    </row>
    <row r="62" spans="1:17" s="35" customFormat="1" hidden="1" outlineLevel="1" x14ac:dyDescent="0.3">
      <c r="A62" s="34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0.34</v>
      </c>
      <c r="I62" s="2"/>
      <c r="J62" s="2">
        <v>15</v>
      </c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212.13</v>
      </c>
    </row>
    <row r="63" spans="1:17" s="35" customFormat="1" collapsed="1" x14ac:dyDescent="0.3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SUM(OSRRefD21_6x_5)</f>
        <v>0</v>
      </c>
      <c r="J63" s="1">
        <f>SUM(OSRRefE21_6x_0)</f>
        <v>30</v>
      </c>
      <c r="K63" s="1">
        <f>SUM(OSRRefE21_6x_1)</f>
        <v>30</v>
      </c>
      <c r="L63" s="1">
        <f>SUM(OSRRefE21_6x_2)</f>
        <v>30</v>
      </c>
      <c r="M63" s="1">
        <f>SUM(OSRRefE21_6x_3)</f>
        <v>30</v>
      </c>
      <c r="N63" s="1">
        <f>SUM(OSRRefE21_6x_4)</f>
        <v>30</v>
      </c>
      <c r="O63" s="1">
        <f>SUM(OSRRefE21_6x_5)</f>
        <v>30</v>
      </c>
      <c r="Q63" s="2">
        <f>SUM(OSRRefD20_6x)+IFERROR(SUM(OSRRefE20_6x),0)</f>
        <v>180</v>
      </c>
    </row>
    <row r="64" spans="1:17" s="35" customFormat="1" hidden="1" outlineLevel="1" x14ac:dyDescent="0.3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/>
      <c r="J64" s="2">
        <v>30</v>
      </c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180</v>
      </c>
    </row>
    <row r="65" spans="1:17" s="35" customFormat="1" collapsed="1" x14ac:dyDescent="0.3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SUM(OSRRefD21_7x_4)</f>
        <v>630</v>
      </c>
      <c r="I65" s="1">
        <f>SUM(OSRRefD21_7x_5)</f>
        <v>340</v>
      </c>
      <c r="J65" s="1">
        <f>SUM(OSRRefE21_7x_0)</f>
        <v>970</v>
      </c>
      <c r="K65" s="1">
        <f>SUM(OSRRefE21_7x_1)</f>
        <v>590</v>
      </c>
      <c r="L65" s="1">
        <f>SUM(OSRRefE21_7x_2)</f>
        <v>340</v>
      </c>
      <c r="M65" s="1">
        <f>SUM(OSRRefE21_7x_3)</f>
        <v>1100</v>
      </c>
      <c r="N65" s="1">
        <f>SUM(OSRRefE21_7x_4)</f>
        <v>2100</v>
      </c>
      <c r="O65" s="1">
        <f>SUM(OSRRefE21_7x_5)</f>
        <v>550</v>
      </c>
      <c r="Q65" s="2">
        <f>SUM(OSRRefD20_7x)+IFERROR(SUM(OSRRefE20_7x),0)</f>
        <v>11290</v>
      </c>
    </row>
    <row r="66" spans="1:17" s="35" customFormat="1" hidden="1" outlineLevel="1" x14ac:dyDescent="0.3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5" customFormat="1" collapsed="1" x14ac:dyDescent="0.3">
      <c r="A67" s="34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SUM(OSRRefD21_8x_4)</f>
        <v>57.42</v>
      </c>
      <c r="I67" s="1">
        <f>SUM(OSRRefD21_8x_5)</f>
        <v>31.35</v>
      </c>
      <c r="J67" s="1">
        <f>SUM(OSRRefE21_8x_0)</f>
        <v>310</v>
      </c>
      <c r="K67" s="1">
        <f>SUM(OSRRefE21_8x_1)</f>
        <v>310</v>
      </c>
      <c r="L67" s="1">
        <f>SUM(OSRRefE21_8x_2)</f>
        <v>310</v>
      </c>
      <c r="M67" s="1">
        <f>SUM(OSRRefE21_8x_3)</f>
        <v>310</v>
      </c>
      <c r="N67" s="1">
        <f>SUM(OSRRefE21_8x_4)</f>
        <v>310</v>
      </c>
      <c r="O67" s="1">
        <f>SUM(OSRRefE21_8x_5)</f>
        <v>310</v>
      </c>
      <c r="Q67" s="2">
        <f>SUM(OSRRefD20_8x)+IFERROR(SUM(OSRRefE20_8x),0)</f>
        <v>5167.4599999999991</v>
      </c>
    </row>
    <row r="68" spans="1:17" s="35" customFormat="1" hidden="1" outlineLevel="1" x14ac:dyDescent="0.3">
      <c r="A68" s="34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57.42</v>
      </c>
      <c r="I68" s="2">
        <v>31.35</v>
      </c>
      <c r="J68" s="2">
        <v>110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1055.46</v>
      </c>
    </row>
    <row r="69" spans="1:17" s="35" customFormat="1" hidden="1" outlineLevel="1" x14ac:dyDescent="0.3">
      <c r="A69" s="34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/>
      <c r="I69" s="2"/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4112</v>
      </c>
    </row>
    <row r="70" spans="1:17" s="35" customFormat="1" collapsed="1" x14ac:dyDescent="0.3">
      <c r="A70" s="34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SUM(OSRRefD21_9x_4)</f>
        <v>205.5</v>
      </c>
      <c r="I70" s="1">
        <f>SUM(OSRRefD21_9x_5)</f>
        <v>206.95</v>
      </c>
      <c r="J70" s="1">
        <f>SUM(OSRRefE21_9x_0)</f>
        <v>325</v>
      </c>
      <c r="K70" s="1">
        <f>SUM(OSRRefE21_9x_1)</f>
        <v>325</v>
      </c>
      <c r="L70" s="1">
        <f>SUM(OSRRefE21_9x_2)</f>
        <v>325</v>
      </c>
      <c r="M70" s="1">
        <f>SUM(OSRRefE21_9x_3)</f>
        <v>325</v>
      </c>
      <c r="N70" s="1">
        <f>SUM(OSRRefE21_9x_4)</f>
        <v>325</v>
      </c>
      <c r="O70" s="1">
        <f>SUM(OSRRefE21_9x_5)</f>
        <v>325</v>
      </c>
      <c r="Q70" s="2">
        <f>SUM(OSRRefD20_9x)+IFERROR(SUM(OSRRefE20_9x),0)</f>
        <v>3212.3500000000004</v>
      </c>
    </row>
    <row r="71" spans="1:17" s="35" customFormat="1" hidden="1" outlineLevel="1" x14ac:dyDescent="0.3">
      <c r="A71" s="34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205.5</v>
      </c>
      <c r="I71" s="2">
        <v>206.95</v>
      </c>
      <c r="J71" s="2">
        <v>325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3212.3500000000004</v>
      </c>
    </row>
    <row r="72" spans="1:17" s="29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3"/>
      <c r="B73" s="16" t="s">
        <v>293</v>
      </c>
      <c r="C73" s="22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f>-88.84</f>
        <v>-88.84</v>
      </c>
      <c r="I73" s="3">
        <f>--879.62</f>
        <v>879.62</v>
      </c>
      <c r="J73" s="3">
        <v>1540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11264.03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7">
        <f t="shared" ref="D75:O75" si="3">IFERROR(+D29-D32+D73, 0)</f>
        <v>-3756.4600000000146</v>
      </c>
      <c r="E75" s="7">
        <f t="shared" si="3"/>
        <v>39728.07</v>
      </c>
      <c r="F75" s="7">
        <f t="shared" si="3"/>
        <v>45781.109999999971</v>
      </c>
      <c r="G75" s="7">
        <f t="shared" si="3"/>
        <v>-18125.249999999993</v>
      </c>
      <c r="H75" s="7">
        <f t="shared" si="3"/>
        <v>-3242.8400000000074</v>
      </c>
      <c r="I75" s="7">
        <f t="shared" si="3"/>
        <v>1962.4199999999864</v>
      </c>
      <c r="J75" s="7">
        <f t="shared" si="3"/>
        <v>1546.9643249125002</v>
      </c>
      <c r="K75" s="7">
        <f t="shared" si="3"/>
        <v>-2285.0134888700013</v>
      </c>
      <c r="L75" s="7">
        <f t="shared" si="3"/>
        <v>-1918.0134888700013</v>
      </c>
      <c r="M75" s="7">
        <f t="shared" si="3"/>
        <v>6129.1654209125008</v>
      </c>
      <c r="N75" s="7">
        <f t="shared" si="3"/>
        <v>26011.266523130002</v>
      </c>
      <c r="O75" s="7">
        <f t="shared" si="3"/>
        <v>-67.936099669999749</v>
      </c>
      <c r="Q75" s="7">
        <f>IFERROR(+Q29-Q32+Q73, 0)</f>
        <v>91763.483191545034</v>
      </c>
    </row>
    <row r="76" spans="1:17" s="6" customFormat="1" x14ac:dyDescent="0.3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-3.5047211777308858E-2</v>
      </c>
      <c r="I76" s="4">
        <f t="shared" si="4"/>
        <v>1.4695115773402984E-2</v>
      </c>
      <c r="J76" s="4">
        <f t="shared" si="4"/>
        <v>8.4599677612150481E-3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4.4431695442333774E-2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13627.98</v>
      </c>
      <c r="I78" s="3">
        <v>17123.53</v>
      </c>
      <c r="J78" s="3">
        <v>17954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221841.40999999997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8">
        <f t="shared" ref="D80:O80" si="5">IFERROR(+D75-D78, 0)</f>
        <v>-47787.580000000016</v>
      </c>
      <c r="E80" s="8">
        <f t="shared" si="5"/>
        <v>18205.919999999998</v>
      </c>
      <c r="F80" s="8">
        <f t="shared" si="5"/>
        <v>35393.099999999969</v>
      </c>
      <c r="G80" s="8">
        <f t="shared" si="5"/>
        <v>-27788.869999999995</v>
      </c>
      <c r="H80" s="8">
        <f t="shared" si="5"/>
        <v>-16870.820000000007</v>
      </c>
      <c r="I80" s="8">
        <f t="shared" si="5"/>
        <v>-15161.110000000011</v>
      </c>
      <c r="J80" s="8">
        <f t="shared" si="5"/>
        <v>-16407.0356750875</v>
      </c>
      <c r="K80" s="8">
        <f t="shared" si="5"/>
        <v>-11151.013488870001</v>
      </c>
      <c r="L80" s="8">
        <f t="shared" si="5"/>
        <v>-14451.013488870001</v>
      </c>
      <c r="M80" s="8">
        <f t="shared" si="5"/>
        <v>-21194.834579087499</v>
      </c>
      <c r="N80" s="8">
        <f t="shared" si="5"/>
        <v>-23775.733476869998</v>
      </c>
      <c r="O80" s="8">
        <f t="shared" si="5"/>
        <v>10911.06390033</v>
      </c>
      <c r="Q80" s="8">
        <f>IFERROR(+Q75-Q78, 0)</f>
        <v>-130077.92680845494</v>
      </c>
    </row>
    <row r="81" spans="1:17" ht="15" thickTop="1" x14ac:dyDescent="0.3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-0.1823325237744868</v>
      </c>
      <c r="I81" s="4">
        <f t="shared" si="6"/>
        <v>-0.11353036898487553</v>
      </c>
      <c r="J81" s="4">
        <f t="shared" si="6"/>
        <v>-8.9726046446608546E-2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-6.2983472583089312E-2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8">
        <f t="shared" ref="D84:O84" si="7">IFERROR(SUM(D80:D83), 0)</f>
        <v>-47788.081410504885</v>
      </c>
      <c r="E84" s="8">
        <f t="shared" si="7"/>
        <v>18205.973020737732</v>
      </c>
      <c r="F84" s="8">
        <f t="shared" si="7"/>
        <v>35393.302408200681</v>
      </c>
      <c r="G84" s="8">
        <f t="shared" si="7"/>
        <v>-27789.088741397871</v>
      </c>
      <c r="H84" s="8">
        <f t="shared" si="7"/>
        <v>-16871.002332523782</v>
      </c>
      <c r="I84" s="8">
        <f t="shared" si="7"/>
        <v>-15161.223530368996</v>
      </c>
      <c r="J84" s="8">
        <f t="shared" si="7"/>
        <v>-16407.125401133948</v>
      </c>
      <c r="K84" s="8">
        <f t="shared" si="7"/>
        <v>-11151.117998921633</v>
      </c>
      <c r="L84" s="8">
        <f t="shared" si="7"/>
        <v>-14451.146592061388</v>
      </c>
      <c r="M84" s="8">
        <f t="shared" si="7"/>
        <v>-21194.937351887671</v>
      </c>
      <c r="N84" s="8">
        <f t="shared" si="7"/>
        <v>-23775.794765590843</v>
      </c>
      <c r="O84" s="8">
        <f t="shared" si="7"/>
        <v>10911.166509642935</v>
      </c>
      <c r="Q84" s="8">
        <f>IFERROR(SUM(Q80:Q83), 0)</f>
        <v>-130077.98979192752</v>
      </c>
    </row>
    <row r="85" spans="1:17" ht="15" thickTop="1" x14ac:dyDescent="0.3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-0.18233449434552162</v>
      </c>
      <c r="I85" s="4">
        <f t="shared" si="8"/>
        <v>-0.11353121913006159</v>
      </c>
      <c r="J85" s="4">
        <f t="shared" si="8"/>
        <v>-8.9726537136308418E-2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-6.2983503079561048E-2</v>
      </c>
    </row>
    <row r="86" spans="1:17" x14ac:dyDescent="0.3">
      <c r="A86" s="5"/>
      <c r="B86" s="28">
        <v>44575.850692245367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A87" s="5"/>
      <c r="B87" s="26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3">
      <c r="A88" s="5"/>
      <c r="B88" s="3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3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198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6665.14</v>
      </c>
      <c r="F10" s="3">
        <f>SUM(OSRRefD11x_2)</f>
        <v>16112.9</v>
      </c>
      <c r="G10" s="3">
        <f>SUM(OSRRefD11x_3)</f>
        <v>25830.05</v>
      </c>
      <c r="H10" s="3">
        <f>SUM(OSRRefD11x_4)</f>
        <v>15321.189999999999</v>
      </c>
      <c r="I10" s="3">
        <f>SUM(OSRRefD11x_5)</f>
        <v>12478.220000000001</v>
      </c>
      <c r="J10" s="3">
        <f>SUM(OSRRefE11x_0)</f>
        <v>35426</v>
      </c>
      <c r="K10" s="3">
        <f>SUM(OSRRefE11x_1)</f>
        <v>96582</v>
      </c>
      <c r="L10" s="3">
        <f>SUM(OSRRefE11x_2)</f>
        <v>92454</v>
      </c>
      <c r="M10" s="3">
        <f>SUM(OSRRefE11x_3)</f>
        <v>84079</v>
      </c>
      <c r="N10" s="3">
        <f>SUM(OSRRefE11x_4)</f>
        <v>42770</v>
      </c>
      <c r="O10" s="3">
        <f>SUM(OSRRefE11x_5)</f>
        <v>13025</v>
      </c>
      <c r="P10" s="24"/>
      <c r="Q10" s="3">
        <f>SUM(OSRRefG11x)</f>
        <v>440743.5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f>--2128.3</f>
        <v>2128.3000000000002</v>
      </c>
      <c r="J11" s="2">
        <v>6899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83965.65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si="0"/>
        <v>0</v>
      </c>
      <c r="E12" s="2">
        <f>0</f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>
        <f>--70.75</f>
        <v>70.75</v>
      </c>
      <c r="J12" s="2"/>
      <c r="K12" s="2"/>
      <c r="L12" s="2"/>
      <c r="M12" s="2"/>
      <c r="N12" s="2"/>
      <c r="O12" s="2"/>
      <c r="Q12" s="2">
        <f>SUM(OSRRefD11_1x)+IFERROR(SUM(OSRRefE11_1x),0)</f>
        <v>698.72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>--5299.87</f>
        <v>5299.87</v>
      </c>
      <c r="F13" s="2">
        <f>--13245.23</f>
        <v>13245.23</v>
      </c>
      <c r="G13" s="2">
        <f>--21202.87</f>
        <v>21202.87</v>
      </c>
      <c r="H13" s="2">
        <f>--12930.99</f>
        <v>12930.99</v>
      </c>
      <c r="I13" s="2">
        <f>--10279.17</f>
        <v>10279.17</v>
      </c>
      <c r="J13" s="2">
        <v>28527</v>
      </c>
      <c r="K13" s="2">
        <v>77706</v>
      </c>
      <c r="L13" s="2">
        <v>74440</v>
      </c>
      <c r="M13" s="2">
        <v>67710</v>
      </c>
      <c r="N13" s="2">
        <v>34268</v>
      </c>
      <c r="O13" s="2">
        <v>10470</v>
      </c>
      <c r="Q13" s="2">
        <f>SUM(OSRRefD11_2x)+IFERROR(SUM(OSRRefE11_2x),0)</f>
        <v>356079.13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--130.35</f>
        <v>130.35</v>
      </c>
      <c r="F14" s="2">
        <f>-130.35</f>
        <v>-130.35</v>
      </c>
      <c r="G14" s="2">
        <f t="shared" ref="G14:I14" si="1">0</f>
        <v>0</v>
      </c>
      <c r="H14" s="2">
        <f t="shared" si="1"/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3246.5599999999995</v>
      </c>
      <c r="F16" s="3">
        <f>SUM(OSRRefD14x_2)</f>
        <v>7971.7199999999993</v>
      </c>
      <c r="G16" s="3">
        <f>SUM(OSRRefD14x_3)</f>
        <v>12147.560000000001</v>
      </c>
      <c r="H16" s="3">
        <f>SUM(OSRRefD14x_4)</f>
        <v>15367.18</v>
      </c>
      <c r="I16" s="3">
        <f>SUM(OSRRefD14x_5)</f>
        <v>7724.2900000000009</v>
      </c>
      <c r="J16" s="3">
        <f>SUM(OSRRefE14x_0)</f>
        <v>17359</v>
      </c>
      <c r="K16" s="3">
        <f>SUM(OSRRefE14x_1)</f>
        <v>47492</v>
      </c>
      <c r="L16" s="3">
        <f>SUM(OSRRefE14x_2)</f>
        <v>45304</v>
      </c>
      <c r="M16" s="3">
        <f>SUM(OSRRefE14x_3)</f>
        <v>41200</v>
      </c>
      <c r="N16" s="3">
        <f>SUM(OSRRefE14x_4)</f>
        <v>20959</v>
      </c>
      <c r="O16" s="3">
        <f>SUM(OSRRefE14x_5)</f>
        <v>6383</v>
      </c>
      <c r="Q16" s="3">
        <f>SUM(OSRRefG14x)</f>
        <v>225154.31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17359</v>
      </c>
      <c r="K17" s="2">
        <v>47492</v>
      </c>
      <c r="L17" s="2">
        <v>45304</v>
      </c>
      <c r="M17" s="2">
        <v>41200</v>
      </c>
      <c r="N17" s="2">
        <v>20959</v>
      </c>
      <c r="O17" s="2">
        <v>6383</v>
      </c>
      <c r="Q17" s="2">
        <f>SUM(OSRRefD14_0x)+IFERROR(SUM(OSRRefE14_0x),0)</f>
        <v>178697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0</v>
      </c>
      <c r="E18" s="2">
        <v>14985.56</v>
      </c>
      <c r="F18" s="2">
        <v>8370.32</v>
      </c>
      <c r="G18" s="2">
        <v>12727.12</v>
      </c>
      <c r="H18" s="2">
        <v>3858.46</v>
      </c>
      <c r="I18" s="2">
        <v>1757.73</v>
      </c>
      <c r="J18" s="2"/>
      <c r="K18" s="2"/>
      <c r="L18" s="2"/>
      <c r="M18" s="2"/>
      <c r="N18" s="2"/>
      <c r="O18" s="2"/>
      <c r="Q18" s="2">
        <f>SUM(OSRRefD14_1x)+IFERROR(SUM(OSRRefE14_1x),0)</f>
        <v>41699.19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-11739</v>
      </c>
      <c r="F19" s="2">
        <v>-398.6</v>
      </c>
      <c r="G19" s="2">
        <v>-579.55999999999995</v>
      </c>
      <c r="H19" s="2">
        <v>11508.72</v>
      </c>
      <c r="I19" s="2">
        <v>5966.56</v>
      </c>
      <c r="J19" s="2"/>
      <c r="K19" s="2"/>
      <c r="L19" s="2"/>
      <c r="M19" s="2"/>
      <c r="N19" s="2"/>
      <c r="O19" s="2"/>
      <c r="Q19" s="2">
        <f>SUM(OSRRefD14_2x)+IFERROR(SUM(OSRRefE14_2x),0)</f>
        <v>4758.12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3418.5800000000008</v>
      </c>
      <c r="F21" s="7">
        <f t="shared" si="2"/>
        <v>8141.18</v>
      </c>
      <c r="G21" s="7">
        <f t="shared" si="2"/>
        <v>13682.489999999998</v>
      </c>
      <c r="H21" s="7">
        <f t="shared" si="2"/>
        <v>-45.990000000001601</v>
      </c>
      <c r="I21" s="7">
        <f t="shared" si="2"/>
        <v>4753.93</v>
      </c>
      <c r="J21" s="7">
        <f t="shared" si="2"/>
        <v>18067</v>
      </c>
      <c r="K21" s="7">
        <f t="shared" si="2"/>
        <v>49090</v>
      </c>
      <c r="L21" s="7">
        <f t="shared" si="2"/>
        <v>47150</v>
      </c>
      <c r="M21" s="7">
        <f t="shared" si="2"/>
        <v>42879</v>
      </c>
      <c r="N21" s="7">
        <f t="shared" si="2"/>
        <v>21811</v>
      </c>
      <c r="O21" s="7">
        <f t="shared" si="2"/>
        <v>6642</v>
      </c>
      <c r="Q21" s="7">
        <f>IFERROR(+Q10-Q16, 0)</f>
        <v>215589.19</v>
      </c>
    </row>
    <row r="22" spans="1:17" s="6" customFormat="1" x14ac:dyDescent="0.3">
      <c r="B22" s="16"/>
      <c r="C22" s="16"/>
      <c r="D22" s="4">
        <f t="shared" ref="D22:O22" si="3">IFERROR(D21/D10, 0)</f>
        <v>0</v>
      </c>
      <c r="E22" s="4">
        <f t="shared" si="3"/>
        <v>0.51290445512022265</v>
      </c>
      <c r="F22" s="4">
        <f t="shared" si="3"/>
        <v>0.50525851957127521</v>
      </c>
      <c r="G22" s="4">
        <f t="shared" si="3"/>
        <v>0.52971209889256887</v>
      </c>
      <c r="H22" s="4">
        <f t="shared" si="3"/>
        <v>-3.0017250618262423E-3</v>
      </c>
      <c r="I22" s="4">
        <f t="shared" si="3"/>
        <v>0.38097821644433261</v>
      </c>
      <c r="J22" s="4">
        <f t="shared" si="3"/>
        <v>0.50999266075763561</v>
      </c>
      <c r="K22" s="4">
        <f t="shared" si="3"/>
        <v>0.50827276304073221</v>
      </c>
      <c r="L22" s="4">
        <f t="shared" si="3"/>
        <v>0.50998334306790405</v>
      </c>
      <c r="M22" s="4">
        <f t="shared" si="3"/>
        <v>0.50998465728659947</v>
      </c>
      <c r="N22" s="4">
        <f t="shared" si="3"/>
        <v>0.50996025251344401</v>
      </c>
      <c r="O22" s="4">
        <f t="shared" si="3"/>
        <v>0.50994241842610366</v>
      </c>
      <c r="P22" s="18"/>
      <c r="Q22" s="4">
        <f>IFERROR(Q21/Q10, 0)</f>
        <v>0.48914888137885187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11929.900000000001</v>
      </c>
      <c r="E24" s="12">
        <f>SUM(OSRRefD20x_1)</f>
        <v>28081.420000000002</v>
      </c>
      <c r="F24" s="12">
        <f>SUM(OSRRefD20x_2)</f>
        <v>18475.420000000002</v>
      </c>
      <c r="G24" s="12">
        <f>SUM(OSRRefD20x_3)</f>
        <v>20399.550000000003</v>
      </c>
      <c r="H24" s="12">
        <f>SUM(OSRRefD20x_4)</f>
        <v>17210.640000000003</v>
      </c>
      <c r="I24" s="12">
        <f>SUM(OSRRefD20x_5)</f>
        <v>21756.42</v>
      </c>
      <c r="J24" s="12">
        <f>SUM(OSRRefE20x_0)</f>
        <v>34735.808669634614</v>
      </c>
      <c r="K24" s="12">
        <f>SUM(OSRRefE20x_1)</f>
        <v>45315.239967307687</v>
      </c>
      <c r="L24" s="12">
        <f>SUM(OSRRefE20x_2)</f>
        <v>41099.277689057693</v>
      </c>
      <c r="M24" s="12">
        <f>SUM(OSRRefE20x_3)</f>
        <v>46343.978603134616</v>
      </c>
      <c r="N24" s="12">
        <f>SUM(OSRRefE20x_4)</f>
        <v>32953.694589807696</v>
      </c>
      <c r="O24" s="12">
        <f>SUM(OSRRefE20x_5)</f>
        <v>28306.54540580769</v>
      </c>
      <c r="Q24" s="12">
        <f>SUM(OSRRefG20x)</f>
        <v>346607.89492474997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0</v>
      </c>
      <c r="E25" s="1">
        <f>SUM(OSRRefD21_0x_1)</f>
        <v>284.44</v>
      </c>
      <c r="F25" s="1">
        <f>SUM(OSRRefD21_0x_2)</f>
        <v>259.75000000000006</v>
      </c>
      <c r="G25" s="1">
        <f>SUM(OSRRefD21_0x_3)</f>
        <v>540.71</v>
      </c>
      <c r="H25" s="1">
        <f>SUM(OSRRefD21_0x_4)</f>
        <v>494.53000000000003</v>
      </c>
      <c r="I25" s="1">
        <f>SUM(OSRRefD21_0x_5)</f>
        <v>1171.79</v>
      </c>
      <c r="J25" s="1">
        <f>SUM(OSRRefE21_0x_0)</f>
        <v>4545.2334811730771</v>
      </c>
      <c r="K25" s="1">
        <f>SUM(OSRRefE21_0x_1)</f>
        <v>4800.36453653846</v>
      </c>
      <c r="L25" s="1">
        <f>SUM(OSRRefE21_0x_2)</f>
        <v>4572.5439082884614</v>
      </c>
      <c r="M25" s="1">
        <f>SUM(OSRRefE21_0x_3)</f>
        <v>5297.7153146730761</v>
      </c>
      <c r="N25" s="1">
        <f>SUM(OSRRefE21_0x_4)</f>
        <v>4094.8886590384604</v>
      </c>
      <c r="O25" s="1">
        <f>SUM(OSRRefE21_0x_5)</f>
        <v>4152.0788750384609</v>
      </c>
      <c r="Q25" s="2">
        <f>SUM(OSRRefD20_0x)+IFERROR(SUM(OSRRefE20_0x),0)</f>
        <v>30214.044774749997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/>
      <c r="E26" s="2">
        <v>168.12</v>
      </c>
      <c r="F26" s="2">
        <v>163.55000000000001</v>
      </c>
      <c r="G26" s="2">
        <v>359.05</v>
      </c>
      <c r="H26" s="2">
        <v>210.4</v>
      </c>
      <c r="I26" s="2">
        <v>445.21</v>
      </c>
      <c r="J26" s="2">
        <v>632.41110040384604</v>
      </c>
      <c r="K26" s="2">
        <v>685.75295192307703</v>
      </c>
      <c r="L26" s="2">
        <v>623.72347367307702</v>
      </c>
      <c r="M26" s="2">
        <v>827.71183390384601</v>
      </c>
      <c r="N26" s="2">
        <v>519.931574423077</v>
      </c>
      <c r="O26" s="2">
        <v>598.54319042307702</v>
      </c>
      <c r="P26" s="9"/>
      <c r="Q26" s="2">
        <f>SUM(OSRRefD21_0_0x)+IFERROR(SUM(OSRRefE21_0_0x),0)</f>
        <v>5234.4041247499999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/>
      <c r="E27" s="2">
        <v>32.53</v>
      </c>
      <c r="F27" s="2">
        <v>83.23</v>
      </c>
      <c r="G27" s="2">
        <v>120.49</v>
      </c>
      <c r="H27" s="2">
        <v>73.540000000000006</v>
      </c>
      <c r="I27" s="2">
        <v>107.83</v>
      </c>
      <c r="J27" s="2">
        <v>559.58937473076901</v>
      </c>
      <c r="K27" s="2">
        <v>766.54784938461501</v>
      </c>
      <c r="L27" s="2">
        <v>676.78378388461601</v>
      </c>
      <c r="M27" s="2">
        <v>861.26314173076901</v>
      </c>
      <c r="N27" s="2">
        <v>474.36348438461499</v>
      </c>
      <c r="O27" s="2">
        <v>462.76532638461498</v>
      </c>
      <c r="P27" s="9"/>
      <c r="Q27" s="2">
        <f>SUM(OSRRefD21_0_1x)+IFERROR(SUM(OSRRefE21_0_1x),0)</f>
        <v>4218.9329604999994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/>
      <c r="E28" s="2"/>
      <c r="F28" s="2"/>
      <c r="G28" s="2"/>
      <c r="H28" s="2"/>
      <c r="I28" s="2">
        <v>33.81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11895.81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/>
      <c r="E29" s="2">
        <v>5.71</v>
      </c>
      <c r="F29" s="2">
        <v>12.97</v>
      </c>
      <c r="G29" s="2">
        <v>21.17</v>
      </c>
      <c r="H29" s="2">
        <v>11.18</v>
      </c>
      <c r="I29" s="2">
        <v>18.95</v>
      </c>
      <c r="J29" s="2">
        <v>31.0062714230769</v>
      </c>
      <c r="K29" s="2">
        <v>42.4736275384615</v>
      </c>
      <c r="L29" s="2">
        <v>37.499893038461501</v>
      </c>
      <c r="M29" s="2">
        <v>47.721704423076901</v>
      </c>
      <c r="N29" s="2">
        <v>26.283992538461501</v>
      </c>
      <c r="O29" s="2">
        <v>25.641350538461499</v>
      </c>
      <c r="P29" s="9"/>
      <c r="Q29" s="2">
        <f>SUM(OSRRefD21_0_3x)+IFERROR(SUM(OSRRefE21_0_3x),0)</f>
        <v>280.60683949999975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/>
      <c r="E30" s="2"/>
      <c r="F30" s="2"/>
      <c r="G30" s="2"/>
      <c r="H30" s="2"/>
      <c r="I30" s="2"/>
      <c r="J30" s="2">
        <v>497.41076923076901</v>
      </c>
      <c r="K30" s="2">
        <v>397.928615384615</v>
      </c>
      <c r="L30" s="2">
        <v>397.928615384615</v>
      </c>
      <c r="M30" s="2">
        <v>497.41076923076901</v>
      </c>
      <c r="N30" s="2">
        <v>397.928615384615</v>
      </c>
      <c r="O30" s="2">
        <v>397.928615384615</v>
      </c>
      <c r="P30" s="9"/>
      <c r="Q30" s="2">
        <f>SUM(OSRRefD21_0_4x)+IFERROR(SUM(OSRRefE21_0_4x),0)</f>
        <v>2586.5359999999982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/>
      <c r="E32" s="2"/>
      <c r="F32" s="2"/>
      <c r="G32" s="2"/>
      <c r="H32" s="2">
        <v>81.62</v>
      </c>
      <c r="I32" s="2">
        <v>163.24</v>
      </c>
      <c r="J32" s="2">
        <v>289.19230769230802</v>
      </c>
      <c r="K32" s="2">
        <v>231.35384615384601</v>
      </c>
      <c r="L32" s="2">
        <v>231.35384615384601</v>
      </c>
      <c r="M32" s="2">
        <v>289.19230769230802</v>
      </c>
      <c r="N32" s="2">
        <v>231.35384615384601</v>
      </c>
      <c r="O32" s="2">
        <v>231.35384615384601</v>
      </c>
      <c r="P32" s="9"/>
      <c r="Q32" s="2">
        <f>SUM(OSRRefD21_0_6x)+IFERROR(SUM(OSRRefE21_0_6x),0)</f>
        <v>1748.6600000000003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/>
      <c r="E33" s="2"/>
      <c r="F33" s="2"/>
      <c r="G33" s="2"/>
      <c r="H33" s="2">
        <v>97.79</v>
      </c>
      <c r="I33" s="2">
        <v>195.58</v>
      </c>
      <c r="J33" s="2">
        <v>558.62365769230803</v>
      </c>
      <c r="K33" s="2">
        <v>699.30764615384601</v>
      </c>
      <c r="L33" s="2">
        <v>628.25429615384598</v>
      </c>
      <c r="M33" s="2">
        <v>797.41555769230797</v>
      </c>
      <c r="N33" s="2">
        <v>468.02714615384599</v>
      </c>
      <c r="O33" s="2">
        <v>458.84654615384602</v>
      </c>
      <c r="P33" s="9"/>
      <c r="Q33" s="2">
        <f>SUM(OSRRefD21_0_7x)+IFERROR(SUM(OSRRefE21_0_7x),0)</f>
        <v>3903.8448500000004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/>
      <c r="E34" s="2">
        <v>78.08</v>
      </c>
      <c r="F34" s="2"/>
      <c r="G34" s="2">
        <v>40</v>
      </c>
      <c r="H34" s="2">
        <v>20</v>
      </c>
      <c r="I34" s="2">
        <v>207.17</v>
      </c>
      <c r="J34" s="2"/>
      <c r="K34" s="2"/>
      <c r="L34" s="2"/>
      <c r="M34" s="2"/>
      <c r="N34" s="2"/>
      <c r="O34" s="2"/>
      <c r="P34" s="9"/>
      <c r="Q34" s="2">
        <f>SUM(OSRRefD21_0_8x)+IFERROR(SUM(OSRRefE21_0_8x),0)</f>
        <v>345.25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0</v>
      </c>
      <c r="E35" s="1">
        <f>SUM(OSRRefD21_1x_1)</f>
        <v>3626.66</v>
      </c>
      <c r="F35" s="1">
        <f>SUM(OSRRefD21_1x_2)</f>
        <v>4434.13</v>
      </c>
      <c r="G35" s="1">
        <f>SUM(OSRRefD21_1x_3)</f>
        <v>6310.97</v>
      </c>
      <c r="H35" s="1">
        <f>SUM(OSRRefD21_1x_4)</f>
        <v>4186.26</v>
      </c>
      <c r="I35" s="1">
        <f>SUM(OSRRefD21_1x_5)</f>
        <v>7011.78</v>
      </c>
      <c r="J35" s="1">
        <f>SUM(OSRRefE21_1x_0)</f>
        <v>13917.07518846154</v>
      </c>
      <c r="K35" s="1">
        <f>SUM(OSRRefE21_1x_1)</f>
        <v>19294.875430769229</v>
      </c>
      <c r="L35" s="1">
        <f>SUM(OSRRefE21_1x_2)</f>
        <v>16997.483780769231</v>
      </c>
      <c r="M35" s="1">
        <f>SUM(OSRRefE21_1x_3)</f>
        <v>21638.013288461538</v>
      </c>
      <c r="N35" s="1">
        <f>SUM(OSRRefE21_1x_4)</f>
        <v>11816.805930769231</v>
      </c>
      <c r="O35" s="1">
        <f>SUM(OSRRefE21_1x_5)</f>
        <v>11519.96653076923</v>
      </c>
      <c r="Q35" s="2">
        <f>SUM(OSRRefD20_1x)+IFERROR(SUM(OSRRefE20_1x),0)</f>
        <v>120754.02015000001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/>
      <c r="E37" s="2"/>
      <c r="F37" s="2"/>
      <c r="G37" s="2"/>
      <c r="H37" s="2"/>
      <c r="I37" s="2"/>
      <c r="J37" s="2">
        <v>5205.4615384615399</v>
      </c>
      <c r="K37" s="2">
        <v>4164.3692307692299</v>
      </c>
      <c r="L37" s="2">
        <v>4164.3692307692299</v>
      </c>
      <c r="M37" s="2">
        <v>5205.4615384615399</v>
      </c>
      <c r="N37" s="2">
        <v>4164.3692307692299</v>
      </c>
      <c r="O37" s="2">
        <v>4164.3692307692299</v>
      </c>
      <c r="P37" s="9"/>
      <c r="Q37" s="2">
        <f>SUM(OSRRefD21_1_1x)+IFERROR(SUM(OSRRefE21_1_1x),0)</f>
        <v>27068.399999999998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>
        <v>466.93</v>
      </c>
      <c r="I39" s="2">
        <v>3071.88</v>
      </c>
      <c r="J39" s="2">
        <v>2405.3332500000001</v>
      </c>
      <c r="K39" s="2">
        <v>4203.4949999999999</v>
      </c>
      <c r="L39" s="2">
        <v>3417.28575</v>
      </c>
      <c r="M39" s="2">
        <v>4880.7247500000003</v>
      </c>
      <c r="N39" s="2">
        <v>2101.7474999999999</v>
      </c>
      <c r="O39" s="2">
        <v>3098.1315</v>
      </c>
      <c r="P39" s="9"/>
      <c r="Q39" s="2">
        <f>SUM(OSRRefD21_1_3x)+IFERROR(SUM(OSRRefE21_1_3x),0)</f>
        <v>23645.527750000005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1349.1</v>
      </c>
      <c r="F40" s="2">
        <v>2137.8000000000002</v>
      </c>
      <c r="G40" s="2">
        <v>4693.5</v>
      </c>
      <c r="H40" s="2">
        <v>2283.4499999999998</v>
      </c>
      <c r="I40" s="2">
        <v>2741.1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13204.949999999999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/>
      <c r="E42" s="2">
        <v>2277.56</v>
      </c>
      <c r="F42" s="2">
        <v>2296.33</v>
      </c>
      <c r="G42" s="2">
        <v>1617.47</v>
      </c>
      <c r="H42" s="2">
        <v>1435.88</v>
      </c>
      <c r="I42" s="2">
        <v>1198.8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8826.0399999999991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>
        <v>6306.2803999999996</v>
      </c>
      <c r="K43" s="2">
        <v>10927.011200000001</v>
      </c>
      <c r="L43" s="2">
        <v>9415.8287999999993</v>
      </c>
      <c r="M43" s="2">
        <v>11551.826999999999</v>
      </c>
      <c r="N43" s="2">
        <v>5550.6891999999998</v>
      </c>
      <c r="O43" s="2">
        <v>4257.4657999999999</v>
      </c>
      <c r="P43" s="9"/>
      <c r="Q43" s="2">
        <f>SUM(OSRRefD21_1_7x)+IFERROR(SUM(OSRRefE21_1_7x),0)</f>
        <v>48009.102399999996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87.97</v>
      </c>
      <c r="F46" s="1">
        <f>SUM(OSRRefD21_2x_2)</f>
        <v>0</v>
      </c>
      <c r="G46" s="1">
        <f>SUM(OSRRefD21_2x_3)</f>
        <v>0</v>
      </c>
      <c r="H46" s="1">
        <f>SUM(OSRRefD21_2x_4)</f>
        <v>3.25</v>
      </c>
      <c r="I46" s="1">
        <f>SUM(OSRRefD21_2x_5)</f>
        <v>0</v>
      </c>
      <c r="J46" s="1">
        <f>SUM(OSRRefE21_2x_0)</f>
        <v>0</v>
      </c>
      <c r="K46" s="1">
        <f>SUM(OSRRefE21_2x_1)</f>
        <v>0</v>
      </c>
      <c r="L46" s="1">
        <f>SUM(OSRRefE21_2x_2)</f>
        <v>0</v>
      </c>
      <c r="M46" s="1">
        <f>SUM(OSRRefE21_2x_3)</f>
        <v>0</v>
      </c>
      <c r="N46" s="1">
        <f>SUM(OSRRefE21_2x_4)</f>
        <v>0</v>
      </c>
      <c r="O46" s="1">
        <f>SUM(OSRRefE21_2x_5)</f>
        <v>0</v>
      </c>
      <c r="Q46" s="2">
        <f>SUM(OSRRefD20_2x)+IFERROR(SUM(OSRRefE20_2x),0)</f>
        <v>91.22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/>
      <c r="E47" s="2">
        <v>87.97</v>
      </c>
      <c r="F47" s="2"/>
      <c r="G47" s="2"/>
      <c r="H47" s="2">
        <v>3.25</v>
      </c>
      <c r="I47" s="2"/>
      <c r="J47" s="2">
        <v>0</v>
      </c>
      <c r="K47" s="2"/>
      <c r="L47" s="2">
        <v>0</v>
      </c>
      <c r="M47" s="2"/>
      <c r="N47" s="2"/>
      <c r="O47" s="2"/>
      <c r="P47" s="9"/>
      <c r="Q47" s="2">
        <f>SUM(OSRRefD21_2_0x)+IFERROR(SUM(OSRRefE21_2_0x),0)</f>
        <v>91.22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-1.3</v>
      </c>
      <c r="F48" s="1">
        <f>SUM(OSRRefD21_3x_2)</f>
        <v>15.79</v>
      </c>
      <c r="G48" s="1">
        <f>SUM(OSRRefD21_3x_3)</f>
        <v>-7.31</v>
      </c>
      <c r="H48" s="1">
        <f>SUM(OSRRefD21_3x_4)</f>
        <v>2.06</v>
      </c>
      <c r="I48" s="1">
        <f>SUM(OSRRefD21_3x_5)</f>
        <v>19.600000000000001</v>
      </c>
      <c r="J48" s="1">
        <f>SUM(OSRRefE21_3x_0)</f>
        <v>0</v>
      </c>
      <c r="K48" s="1">
        <f>SUM(OSRRefE21_3x_1)</f>
        <v>0</v>
      </c>
      <c r="L48" s="1">
        <f>SUM(OSRRefE21_3x_2)</f>
        <v>0</v>
      </c>
      <c r="M48" s="1">
        <f>SUM(OSRRefE21_3x_3)</f>
        <v>0</v>
      </c>
      <c r="N48" s="1">
        <f>SUM(OSRRefE21_3x_4)</f>
        <v>0</v>
      </c>
      <c r="O48" s="1">
        <f>SUM(OSRRefE21_3x_5)</f>
        <v>0</v>
      </c>
      <c r="Q48" s="2">
        <f>SUM(OSRRefD20_3x)+IFERROR(SUM(OSRRefE20_3x),0)</f>
        <v>28.84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-1.3</v>
      </c>
      <c r="F49" s="2">
        <v>15.79</v>
      </c>
      <c r="G49" s="2">
        <v>-7.31</v>
      </c>
      <c r="H49" s="2">
        <v>2.06</v>
      </c>
      <c r="I49" s="2">
        <v>19.600000000000001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/>
      <c r="P49" s="9"/>
      <c r="Q49" s="2">
        <f>SUM(OSRRefD21_3_0x)+IFERROR(SUM(OSRRefE21_3_0x),0)</f>
        <v>28.84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75.459999999999994</v>
      </c>
      <c r="E50" s="1">
        <f>SUM(OSRRefD21_4x_1)</f>
        <v>419.56</v>
      </c>
      <c r="F50" s="1">
        <f>SUM(OSRRefD21_4x_2)</f>
        <v>1041.94</v>
      </c>
      <c r="G50" s="1">
        <f>SUM(OSRRefD21_4x_3)</f>
        <v>1114.23</v>
      </c>
      <c r="H50" s="1">
        <f>SUM(OSRRefD21_4x_4)</f>
        <v>719.42</v>
      </c>
      <c r="I50" s="1">
        <f>SUM(OSRRefD21_4x_5)</f>
        <v>599.38</v>
      </c>
      <c r="J50" s="1">
        <f>SUM(OSRRefE21_4x_0)</f>
        <v>1529.5</v>
      </c>
      <c r="K50" s="1">
        <f>SUM(OSRRefE21_4x_1)</f>
        <v>4356</v>
      </c>
      <c r="L50" s="1">
        <f>SUM(OSRRefE21_4x_2)</f>
        <v>4175.25</v>
      </c>
      <c r="M50" s="1">
        <f>SUM(OSRRefE21_4x_3)</f>
        <v>4054.25</v>
      </c>
      <c r="N50" s="1">
        <f>SUM(OSRRefE21_4x_4)</f>
        <v>2778</v>
      </c>
      <c r="O50" s="1">
        <f>SUM(OSRRefE21_4x_5)</f>
        <v>681.5</v>
      </c>
      <c r="Q50" s="2">
        <f>SUM(OSRRefD20_4x)+IFERROR(SUM(OSRRefE20_4x),0)</f>
        <v>21544.49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>
        <v>75.459999999999994</v>
      </c>
      <c r="E51" s="2">
        <v>419.56</v>
      </c>
      <c r="F51" s="2">
        <v>1041.94</v>
      </c>
      <c r="G51" s="2">
        <v>1114.23</v>
      </c>
      <c r="H51" s="2">
        <v>719.42</v>
      </c>
      <c r="I51" s="2">
        <v>599.38</v>
      </c>
      <c r="J51" s="2">
        <v>1529.5</v>
      </c>
      <c r="K51" s="2">
        <v>4356</v>
      </c>
      <c r="L51" s="2">
        <v>4175.25</v>
      </c>
      <c r="M51" s="2">
        <v>4054.25</v>
      </c>
      <c r="N51" s="2">
        <v>2778</v>
      </c>
      <c r="O51" s="2">
        <v>681.5</v>
      </c>
      <c r="P51" s="9"/>
      <c r="Q51" s="2">
        <f>SUM(OSRRefD21_4_0x)+IFERROR(SUM(OSRRefE21_4_0x),0)</f>
        <v>21544.49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7135.5400000000009</v>
      </c>
      <c r="E52" s="1">
        <f>SUM(OSRRefD21_5x_1)</f>
        <v>7135.5400000000009</v>
      </c>
      <c r="F52" s="1">
        <f>SUM(OSRRefD21_5x_2)</f>
        <v>7135.5300000000007</v>
      </c>
      <c r="G52" s="1">
        <f>SUM(OSRRefD21_5x_3)</f>
        <v>6324.75</v>
      </c>
      <c r="H52" s="1">
        <f>SUM(OSRRefD21_5x_4)</f>
        <v>6324.75</v>
      </c>
      <c r="I52" s="1">
        <f>SUM(OSRRefD21_5x_5)</f>
        <v>6324.75</v>
      </c>
      <c r="J52" s="1">
        <f>SUM(OSRRefE21_5x_0)</f>
        <v>6324</v>
      </c>
      <c r="K52" s="1">
        <f>SUM(OSRRefE21_5x_1)</f>
        <v>6324</v>
      </c>
      <c r="L52" s="1">
        <f>SUM(OSRRefE21_5x_2)</f>
        <v>6324</v>
      </c>
      <c r="M52" s="1">
        <f>SUM(OSRRefE21_5x_3)</f>
        <v>6324</v>
      </c>
      <c r="N52" s="1">
        <f>SUM(OSRRefE21_5x_4)</f>
        <v>6324</v>
      </c>
      <c r="O52" s="1">
        <f>SUM(OSRRefE21_5x_5)</f>
        <v>6166</v>
      </c>
      <c r="Q52" s="2">
        <f>SUM(OSRRefD20_5x)+IFERROR(SUM(OSRRefE20_5x),0)</f>
        <v>78166.86</v>
      </c>
    </row>
    <row r="53" spans="1:17" s="35" customFormat="1" hidden="1" outlineLevel="1" x14ac:dyDescent="0.3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5080.51</v>
      </c>
      <c r="E53" s="2">
        <v>5080.51</v>
      </c>
      <c r="F53" s="2">
        <v>5080.51</v>
      </c>
      <c r="G53" s="2">
        <v>5080.51</v>
      </c>
      <c r="H53" s="2">
        <v>5080.51</v>
      </c>
      <c r="I53" s="2">
        <v>5080.51</v>
      </c>
      <c r="J53" s="2"/>
      <c r="K53" s="2"/>
      <c r="L53" s="2"/>
      <c r="M53" s="2"/>
      <c r="N53" s="2"/>
      <c r="O53" s="2"/>
      <c r="P53" s="9"/>
      <c r="Q53" s="2">
        <f>SUM(OSRRefD21_5_0x)+IFERROR(SUM(OSRRefE21_5_0x),0)</f>
        <v>30483.060000000005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2055.0300000000002</v>
      </c>
      <c r="E54" s="2">
        <v>2055.0300000000002</v>
      </c>
      <c r="F54" s="2">
        <v>2055.02</v>
      </c>
      <c r="G54" s="2">
        <v>1244.24</v>
      </c>
      <c r="H54" s="2">
        <v>1244.24</v>
      </c>
      <c r="I54" s="2">
        <v>1244.24</v>
      </c>
      <c r="J54" s="2">
        <v>6324</v>
      </c>
      <c r="K54" s="2">
        <v>6324</v>
      </c>
      <c r="L54" s="2">
        <v>6324</v>
      </c>
      <c r="M54" s="2">
        <v>6324</v>
      </c>
      <c r="N54" s="2">
        <v>6324</v>
      </c>
      <c r="O54" s="2">
        <v>6166</v>
      </c>
      <c r="P54" s="9"/>
      <c r="Q54" s="2">
        <f>SUM(OSRRefD21_5_1x)+IFERROR(SUM(OSRRefE21_5_1x),0)</f>
        <v>47683.8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0</v>
      </c>
      <c r="N55" s="1">
        <f>SUM(OSRRefE21_6x_4)</f>
        <v>50</v>
      </c>
      <c r="O55" s="1">
        <f>SUM(OSRRefE21_6x_5)</f>
        <v>0</v>
      </c>
      <c r="Q55" s="2">
        <f>SUM(OSRRefD20_6x)+IFERROR(SUM(OSRRefE20_6x),0)</f>
        <v>50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50</v>
      </c>
    </row>
    <row r="57" spans="1:17" s="35" customFormat="1" collapsed="1" x14ac:dyDescent="0.3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30</v>
      </c>
      <c r="J57" s="1">
        <f>SUM(OSRRefE21_7x_0)</f>
        <v>176</v>
      </c>
      <c r="K57" s="1">
        <f>SUM(OSRRefE21_7x_1)</f>
        <v>176</v>
      </c>
      <c r="L57" s="1">
        <f>SUM(OSRRefE21_7x_2)</f>
        <v>176</v>
      </c>
      <c r="M57" s="1">
        <f>SUM(OSRRefE21_7x_3)</f>
        <v>176</v>
      </c>
      <c r="N57" s="1">
        <f>SUM(OSRRefE21_7x_4)</f>
        <v>176</v>
      </c>
      <c r="O57" s="1">
        <f>SUM(OSRRefE21_7x_5)</f>
        <v>176</v>
      </c>
      <c r="Q57" s="2">
        <f>SUM(OSRRefD20_7x)+IFERROR(SUM(OSRRefE20_7x),0)</f>
        <v>1086</v>
      </c>
    </row>
    <row r="58" spans="1:17" s="35" customFormat="1" hidden="1" outlineLevel="1" x14ac:dyDescent="0.3">
      <c r="A58" s="34"/>
      <c r="B58" s="10" t="str">
        <f>CONCATENATE("          ","6351", " - ","EQUIPMENT RENTAL")</f>
        <v xml:space="preserve">          6351 - EQUIPMENT RENTAL</v>
      </c>
      <c r="C58" s="14"/>
      <c r="D58" s="2"/>
      <c r="E58" s="2"/>
      <c r="F58" s="2"/>
      <c r="G58" s="2"/>
      <c r="H58" s="2"/>
      <c r="I58" s="2">
        <v>30</v>
      </c>
      <c r="J58" s="2">
        <v>176</v>
      </c>
      <c r="K58" s="2">
        <v>176</v>
      </c>
      <c r="L58" s="2">
        <v>176</v>
      </c>
      <c r="M58" s="2">
        <v>176</v>
      </c>
      <c r="N58" s="2">
        <v>176</v>
      </c>
      <c r="O58" s="2">
        <v>176</v>
      </c>
      <c r="P58" s="9"/>
      <c r="Q58" s="2">
        <f>SUM(OSRRefD21_7_0x)+IFERROR(SUM(OSRRefE21_7_0x),0)</f>
        <v>1086</v>
      </c>
    </row>
    <row r="59" spans="1:17" s="35" customFormat="1" collapsed="1" x14ac:dyDescent="0.3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1612</v>
      </c>
      <c r="F59" s="1">
        <f>SUM(OSRRefD21_8x_2)</f>
        <v>0</v>
      </c>
      <c r="G59" s="1">
        <f>SUM(OSRRefD21_8x_3)</f>
        <v>0</v>
      </c>
      <c r="H59" s="1">
        <f>SUM(OSRRefD21_8x_4)</f>
        <v>547.19000000000005</v>
      </c>
      <c r="I59" s="1">
        <f>SUM(OSRRefD21_8x_5)</f>
        <v>432.19</v>
      </c>
      <c r="J59" s="1">
        <f>SUM(OSRRefE21_8x_0)</f>
        <v>0</v>
      </c>
      <c r="K59" s="1">
        <f>SUM(OSRRefE21_8x_1)</f>
        <v>0</v>
      </c>
      <c r="L59" s="1">
        <f>SUM(OSRRefE21_8x_2)</f>
        <v>0</v>
      </c>
      <c r="M59" s="1">
        <f>SUM(OSRRefE21_8x_3)</f>
        <v>0</v>
      </c>
      <c r="N59" s="1">
        <f>SUM(OSRRefE21_8x_4)</f>
        <v>0</v>
      </c>
      <c r="O59" s="1">
        <f>SUM(OSRRefE21_8x_5)</f>
        <v>0</v>
      </c>
      <c r="Q59" s="2">
        <f>SUM(OSRRefD20_8x)+IFERROR(SUM(OSRRefE20_8x),0)</f>
        <v>2591.38</v>
      </c>
    </row>
    <row r="60" spans="1:17" s="35" customFormat="1" hidden="1" outlineLevel="1" x14ac:dyDescent="0.3">
      <c r="A60" s="34"/>
      <c r="B60" s="10" t="str">
        <f>CONCATENATE("          ","6279", " - ","GENERAL EXPENSE")</f>
        <v xml:space="preserve">          6279 - GENERAL EXPENSE</v>
      </c>
      <c r="C60" s="14"/>
      <c r="D60" s="2"/>
      <c r="E60" s="2">
        <v>1612</v>
      </c>
      <c r="F60" s="2"/>
      <c r="G60" s="2"/>
      <c r="H60" s="2">
        <v>547.19000000000005</v>
      </c>
      <c r="I60" s="2">
        <v>432.19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2591.38</v>
      </c>
    </row>
    <row r="61" spans="1:17" s="35" customFormat="1" collapsed="1" x14ac:dyDescent="0.3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331.01</v>
      </c>
      <c r="E61" s="1">
        <f>SUM(OSRRefD21_9x_1)</f>
        <v>331.01</v>
      </c>
      <c r="F61" s="1">
        <f>SUM(OSRRefD21_9x_2)</f>
        <v>331.01</v>
      </c>
      <c r="G61" s="1">
        <f>SUM(OSRRefD21_9x_3)</f>
        <v>331.01</v>
      </c>
      <c r="H61" s="1">
        <f>SUM(OSRRefD21_9x_4)</f>
        <v>331.01</v>
      </c>
      <c r="I61" s="1">
        <f>SUM(OSRRefD21_9x_5)</f>
        <v>331.01</v>
      </c>
      <c r="J61" s="1">
        <f>SUM(OSRRefE21_9x_0)</f>
        <v>330</v>
      </c>
      <c r="K61" s="1">
        <f>SUM(OSRRefE21_9x_1)</f>
        <v>330</v>
      </c>
      <c r="L61" s="1">
        <f>SUM(OSRRefE21_9x_2)</f>
        <v>330</v>
      </c>
      <c r="M61" s="1">
        <f>SUM(OSRRefE21_9x_3)</f>
        <v>330</v>
      </c>
      <c r="N61" s="1">
        <f>SUM(OSRRefE21_9x_4)</f>
        <v>330</v>
      </c>
      <c r="O61" s="1">
        <f>SUM(OSRRefE21_9x_5)</f>
        <v>330</v>
      </c>
      <c r="Q61" s="2">
        <f>SUM(OSRRefD20_9x)+IFERROR(SUM(OSRRefE20_9x),0)</f>
        <v>3966.06</v>
      </c>
    </row>
    <row r="62" spans="1:17" s="35" customFormat="1" hidden="1" outlineLevel="1" x14ac:dyDescent="0.3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331.01</v>
      </c>
      <c r="E62" s="2">
        <v>331.01</v>
      </c>
      <c r="F62" s="2">
        <v>331.01</v>
      </c>
      <c r="G62" s="2">
        <v>331.01</v>
      </c>
      <c r="H62" s="2">
        <v>331.01</v>
      </c>
      <c r="I62" s="2">
        <v>331.01</v>
      </c>
      <c r="J62" s="2">
        <v>330</v>
      </c>
      <c r="K62" s="2">
        <v>330</v>
      </c>
      <c r="L62" s="2">
        <v>330</v>
      </c>
      <c r="M62" s="2">
        <v>330</v>
      </c>
      <c r="N62" s="2">
        <v>330</v>
      </c>
      <c r="O62" s="2">
        <v>330</v>
      </c>
      <c r="P62" s="9"/>
      <c r="Q62" s="2">
        <f>SUM(OSRRefD21_9_0x)+IFERROR(SUM(OSRRefE21_9_0x),0)</f>
        <v>3966.06</v>
      </c>
    </row>
    <row r="63" spans="1:17" s="35" customFormat="1" collapsed="1" x14ac:dyDescent="0.3">
      <c r="A63" s="34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3905</v>
      </c>
      <c r="E63" s="1">
        <f>SUM(OSRRefD21_10x_1)</f>
        <v>3905</v>
      </c>
      <c r="F63" s="1">
        <f>SUM(OSRRefD21_10x_2)</f>
        <v>3905</v>
      </c>
      <c r="G63" s="1">
        <f>SUM(OSRRefD21_10x_3)</f>
        <v>3629</v>
      </c>
      <c r="H63" s="1">
        <f>SUM(OSRRefD21_10x_4)</f>
        <v>3905</v>
      </c>
      <c r="I63" s="1">
        <f>SUM(OSRRefD21_10x_5)</f>
        <v>3905</v>
      </c>
      <c r="J63" s="1">
        <f>SUM(OSRRefE21_10x_0)</f>
        <v>3905</v>
      </c>
      <c r="K63" s="1">
        <f>SUM(OSRRefE21_10x_1)</f>
        <v>3905</v>
      </c>
      <c r="L63" s="1">
        <f>SUM(OSRRefE21_10x_2)</f>
        <v>3905</v>
      </c>
      <c r="M63" s="1">
        <f>SUM(OSRRefE21_10x_3)</f>
        <v>3905</v>
      </c>
      <c r="N63" s="1">
        <f>SUM(OSRRefE21_10x_4)</f>
        <v>3760</v>
      </c>
      <c r="O63" s="1">
        <f>SUM(OSRRefE21_10x_5)</f>
        <v>3760</v>
      </c>
      <c r="Q63" s="2">
        <f>SUM(OSRRefD20_10x)+IFERROR(SUM(OSRRefE20_10x),0)</f>
        <v>46294</v>
      </c>
    </row>
    <row r="64" spans="1:17" s="35" customFormat="1" hidden="1" outlineLevel="1" x14ac:dyDescent="0.3">
      <c r="A64" s="34"/>
      <c r="B64" s="10" t="str">
        <f>CONCATENATE("          ","6401", " - ","INTEREST EXPENSE")</f>
        <v xml:space="preserve">          6401 - INTEREST EXPENSE</v>
      </c>
      <c r="C64" s="14"/>
      <c r="D64" s="2">
        <v>3905</v>
      </c>
      <c r="E64" s="2">
        <v>3905</v>
      </c>
      <c r="F64" s="2">
        <v>3905</v>
      </c>
      <c r="G64" s="2">
        <v>3629</v>
      </c>
      <c r="H64" s="2">
        <v>3905</v>
      </c>
      <c r="I64" s="2">
        <v>3905</v>
      </c>
      <c r="J64" s="2">
        <v>3905</v>
      </c>
      <c r="K64" s="2">
        <v>3905</v>
      </c>
      <c r="L64" s="2">
        <v>3905</v>
      </c>
      <c r="M64" s="2">
        <v>3905</v>
      </c>
      <c r="N64" s="2">
        <v>3760</v>
      </c>
      <c r="O64" s="2">
        <v>3760</v>
      </c>
      <c r="P64" s="9"/>
      <c r="Q64" s="2">
        <f>SUM(OSRRefD21_10_0x)+IFERROR(SUM(OSRRefE21_10_0x),0)</f>
        <v>46294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1922.99</v>
      </c>
      <c r="F65" s="1">
        <f>SUM(OSRRefD21_11x_2)</f>
        <v>275.44</v>
      </c>
      <c r="G65" s="1">
        <f>SUM(OSRRefD21_11x_3)</f>
        <v>166.39999999999998</v>
      </c>
      <c r="H65" s="1">
        <f>SUM(OSRRefD21_11x_4)</f>
        <v>0</v>
      </c>
      <c r="I65" s="1">
        <f>SUM(OSRRefD21_11x_5)</f>
        <v>613.41999999999996</v>
      </c>
      <c r="J65" s="1">
        <f>SUM(OSRRefE21_11x_0)</f>
        <v>365</v>
      </c>
      <c r="K65" s="1">
        <f>SUM(OSRRefE21_11x_1)</f>
        <v>215</v>
      </c>
      <c r="L65" s="1">
        <f>SUM(OSRRefE21_11x_2)</f>
        <v>353</v>
      </c>
      <c r="M65" s="1">
        <f>SUM(OSRRefE21_11x_3)</f>
        <v>365</v>
      </c>
      <c r="N65" s="1">
        <f>SUM(OSRRefE21_11x_4)</f>
        <v>215</v>
      </c>
      <c r="O65" s="1">
        <f>SUM(OSRRefE21_11x_5)</f>
        <v>215</v>
      </c>
      <c r="Q65" s="2">
        <f>SUM(OSRRefD20_11x)+IFERROR(SUM(OSRRefE20_11x),0)</f>
        <v>4706.25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275.44</v>
      </c>
      <c r="G66" s="2">
        <v>-71.86</v>
      </c>
      <c r="H66" s="2"/>
      <c r="I66" s="2">
        <v>613.41999999999996</v>
      </c>
      <c r="J66" s="2">
        <v>150</v>
      </c>
      <c r="K66" s="2"/>
      <c r="L66" s="2">
        <v>138</v>
      </c>
      <c r="M66" s="2">
        <v>150</v>
      </c>
      <c r="N66" s="2"/>
      <c r="O66" s="2"/>
      <c r="P66" s="9"/>
      <c r="Q66" s="2">
        <f>SUM(OSRRefD21_11_0x)+IFERROR(SUM(OSRRefE21_11_0x),0)</f>
        <v>1255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1922.99</v>
      </c>
      <c r="F67" s="2"/>
      <c r="G67" s="2">
        <v>238.26</v>
      </c>
      <c r="H67" s="2"/>
      <c r="I67" s="2"/>
      <c r="J67" s="2">
        <v>215</v>
      </c>
      <c r="K67" s="2">
        <v>215</v>
      </c>
      <c r="L67" s="2">
        <v>215</v>
      </c>
      <c r="M67" s="2">
        <v>215</v>
      </c>
      <c r="N67" s="2">
        <v>215</v>
      </c>
      <c r="O67" s="2">
        <v>215</v>
      </c>
      <c r="P67" s="9"/>
      <c r="Q67" s="2">
        <f>SUM(OSRRefD21_11_1x)+IFERROR(SUM(OSRRefE21_11_1x),0)</f>
        <v>3451.25</v>
      </c>
    </row>
    <row r="68" spans="1:17" s="35" customFormat="1" collapsed="1" x14ac:dyDescent="0.3">
      <c r="A68" s="34"/>
      <c r="B68" s="14" t="str">
        <f>CONCATENATE("     ","Royalty &amp; Commissions                             ")</f>
        <v xml:space="preserve">     Royalty &amp; Commissions                             </v>
      </c>
      <c r="C68" s="14"/>
      <c r="D68" s="1">
        <f>SUM(OSRRefD21_12x_0)</f>
        <v>0</v>
      </c>
      <c r="E68" s="1">
        <f>SUM(OSRRefD21_12x_1)</f>
        <v>0</v>
      </c>
      <c r="F68" s="1">
        <f>SUM(OSRRefD21_12x_2)</f>
        <v>0</v>
      </c>
      <c r="G68" s="1">
        <f>SUM(OSRRefD21_12x_3)</f>
        <v>0</v>
      </c>
      <c r="H68" s="1">
        <f>SUM(OSRRefD21_12x_4)</f>
        <v>0</v>
      </c>
      <c r="I68" s="1">
        <f>SUM(OSRRefD21_12x_5)</f>
        <v>0</v>
      </c>
      <c r="J68" s="1">
        <f>SUM(OSRRefE21_12x_0)</f>
        <v>949</v>
      </c>
      <c r="K68" s="1">
        <f>SUM(OSRRefE21_12x_1)</f>
        <v>2644</v>
      </c>
      <c r="L68" s="1">
        <f>SUM(OSRRefE21_12x_2)</f>
        <v>2496</v>
      </c>
      <c r="M68" s="1">
        <f>SUM(OSRRefE21_12x_3)</f>
        <v>2234</v>
      </c>
      <c r="N68" s="1">
        <f>SUM(OSRRefE21_12x_4)</f>
        <v>1239</v>
      </c>
      <c r="O68" s="1">
        <f>SUM(OSRRefE21_12x_5)</f>
        <v>336</v>
      </c>
      <c r="Q68" s="2">
        <f>SUM(OSRRefD20_12x)+IFERROR(SUM(OSRRefE20_12x),0)</f>
        <v>9898</v>
      </c>
    </row>
    <row r="69" spans="1:17" s="35" customFormat="1" hidden="1" outlineLevel="1" x14ac:dyDescent="0.3">
      <c r="A69" s="34"/>
      <c r="B69" s="10" t="str">
        <f>CONCATENATE("          ","6259", " - ","ROYALTY &amp; COMMISSIONS")</f>
        <v xml:space="preserve">          6259 - ROYALTY &amp; COMMISSIONS</v>
      </c>
      <c r="C69" s="14"/>
      <c r="D69" s="2"/>
      <c r="E69" s="2"/>
      <c r="F69" s="2"/>
      <c r="G69" s="2"/>
      <c r="H69" s="2"/>
      <c r="I69" s="2"/>
      <c r="J69" s="2">
        <v>949</v>
      </c>
      <c r="K69" s="2">
        <v>2644</v>
      </c>
      <c r="L69" s="2">
        <v>2496</v>
      </c>
      <c r="M69" s="2">
        <v>2234</v>
      </c>
      <c r="N69" s="2">
        <v>1239</v>
      </c>
      <c r="O69" s="2">
        <v>336</v>
      </c>
      <c r="P69" s="9"/>
      <c r="Q69" s="2">
        <f>SUM(OSRRefD21_12_0x)+IFERROR(SUM(OSRRefE21_12_0x),0)</f>
        <v>9898</v>
      </c>
    </row>
    <row r="70" spans="1:17" s="35" customFormat="1" collapsed="1" x14ac:dyDescent="0.3">
      <c r="A70" s="34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SUM(OSRRefD21_13x_0)</f>
        <v>151.85</v>
      </c>
      <c r="E70" s="1">
        <f>SUM(OSRRefD21_13x_1)</f>
        <v>7775.8899999999994</v>
      </c>
      <c r="F70" s="1">
        <f>SUM(OSRRefD21_13x_2)</f>
        <v>424.13</v>
      </c>
      <c r="G70" s="1">
        <f>SUM(OSRRefD21_13x_3)</f>
        <v>592.53</v>
      </c>
      <c r="H70" s="1">
        <f>SUM(OSRRefD21_13x_4)</f>
        <v>424.13</v>
      </c>
      <c r="I70" s="1">
        <f>SUM(OSRRefD21_13x_5)</f>
        <v>434.40999999999997</v>
      </c>
      <c r="J70" s="1">
        <f>SUM(OSRRefE21_13x_0)</f>
        <v>292</v>
      </c>
      <c r="K70" s="1">
        <f>SUM(OSRRefE21_13x_1)</f>
        <v>292</v>
      </c>
      <c r="L70" s="1">
        <f>SUM(OSRRefE21_13x_2)</f>
        <v>292</v>
      </c>
      <c r="M70" s="1">
        <f>SUM(OSRRefE21_13x_3)</f>
        <v>292</v>
      </c>
      <c r="N70" s="1">
        <f>SUM(OSRRefE21_13x_4)</f>
        <v>292</v>
      </c>
      <c r="O70" s="1">
        <f>SUM(OSRRefE21_13x_5)</f>
        <v>292</v>
      </c>
      <c r="Q70" s="2">
        <f>SUM(OSRRefD20_13x)+IFERROR(SUM(OSRRefE20_13x),0)</f>
        <v>11554.939999999999</v>
      </c>
    </row>
    <row r="71" spans="1:17" s="35" customFormat="1" hidden="1" outlineLevel="1" x14ac:dyDescent="0.3">
      <c r="A71" s="34"/>
      <c r="B71" s="10" t="str">
        <f>CONCATENATE("          ","6282", " - ","JANITORIAL/EXTERMINATOR EXPENS")</f>
        <v xml:space="preserve">          6282 - JANITORIAL/EXTERMINATOR EXPENS</v>
      </c>
      <c r="C71" s="14"/>
      <c r="D71" s="2">
        <v>151.85</v>
      </c>
      <c r="E71" s="2">
        <v>320.25</v>
      </c>
      <c r="F71" s="2">
        <v>320.25</v>
      </c>
      <c r="G71" s="2">
        <v>488.65</v>
      </c>
      <c r="H71" s="2">
        <v>320.25</v>
      </c>
      <c r="I71" s="2">
        <v>320.25</v>
      </c>
      <c r="J71" s="2">
        <v>258</v>
      </c>
      <c r="K71" s="2">
        <v>258</v>
      </c>
      <c r="L71" s="2">
        <v>258</v>
      </c>
      <c r="M71" s="2">
        <v>258</v>
      </c>
      <c r="N71" s="2">
        <v>258</v>
      </c>
      <c r="O71" s="2">
        <v>258</v>
      </c>
      <c r="P71" s="9"/>
      <c r="Q71" s="2">
        <f>SUM(OSRRefD21_13_0x)+IFERROR(SUM(OSRRefE21_13_0x),0)</f>
        <v>3469.5</v>
      </c>
    </row>
    <row r="72" spans="1:17" s="35" customFormat="1" hidden="1" outlineLevel="1" x14ac:dyDescent="0.3">
      <c r="A72" s="34"/>
      <c r="B72" s="10" t="str">
        <f>CONCATENATE("          ","6285", " - ","JANITORIAL SERVICES")</f>
        <v xml:space="preserve">          6285 - JANITORIAL SERVICES</v>
      </c>
      <c r="C72" s="14"/>
      <c r="D72" s="2"/>
      <c r="E72" s="2">
        <v>7403.7</v>
      </c>
      <c r="F72" s="2">
        <v>51.94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SUM(OSRRefD21_13_1x)+IFERROR(SUM(OSRRefE21_13_1x),0)</f>
        <v>7455.6399999999994</v>
      </c>
    </row>
    <row r="73" spans="1:17" s="35" customFormat="1" hidden="1" outlineLevel="1" x14ac:dyDescent="0.3">
      <c r="A73" s="34"/>
      <c r="B73" s="10" t="str">
        <f>CONCATENATE("          ","6286", " - ","LAUNDRY EXPENSE")</f>
        <v xml:space="preserve">          6286 - LAUNDRY EXPENSE</v>
      </c>
      <c r="C73" s="14"/>
      <c r="D73" s="2"/>
      <c r="E73" s="2">
        <v>51.94</v>
      </c>
      <c r="F73" s="2">
        <v>51.94</v>
      </c>
      <c r="G73" s="2">
        <v>103.88</v>
      </c>
      <c r="H73" s="2">
        <v>103.88</v>
      </c>
      <c r="I73" s="2">
        <v>114.16</v>
      </c>
      <c r="J73" s="2">
        <v>34</v>
      </c>
      <c r="K73" s="2">
        <v>34</v>
      </c>
      <c r="L73" s="2">
        <v>34</v>
      </c>
      <c r="M73" s="2">
        <v>34</v>
      </c>
      <c r="N73" s="2">
        <v>34</v>
      </c>
      <c r="O73" s="2">
        <v>34</v>
      </c>
      <c r="P73" s="9"/>
      <c r="Q73" s="2">
        <f>SUM(OSRRefD21_13_2x)+IFERROR(SUM(OSRRefE21_13_2x),0)</f>
        <v>629.79999999999995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112.24</v>
      </c>
      <c r="E74" s="1">
        <f>SUM(OSRRefD21_14x_1)</f>
        <v>730.46</v>
      </c>
      <c r="F74" s="1">
        <f>SUM(OSRRefD21_14x_2)</f>
        <v>177.2</v>
      </c>
      <c r="G74" s="1">
        <f>SUM(OSRRefD21_14x_3)</f>
        <v>1443.7600000000002</v>
      </c>
      <c r="H74" s="1">
        <f>SUM(OSRRefD21_14x_4)</f>
        <v>121.04</v>
      </c>
      <c r="I74" s="1">
        <f>SUM(OSRRefD21_14x_5)</f>
        <v>179.59</v>
      </c>
      <c r="J74" s="1">
        <f>SUM(OSRRefE21_14x_0)</f>
        <v>2150</v>
      </c>
      <c r="K74" s="1">
        <f>SUM(OSRRefE21_14x_1)</f>
        <v>2800</v>
      </c>
      <c r="L74" s="1">
        <f>SUM(OSRRefE21_14x_2)</f>
        <v>1300</v>
      </c>
      <c r="M74" s="1">
        <f>SUM(OSRRefE21_14x_3)</f>
        <v>1550</v>
      </c>
      <c r="N74" s="1">
        <f>SUM(OSRRefE21_14x_4)</f>
        <v>1700</v>
      </c>
      <c r="O74" s="1">
        <f>SUM(OSRRefE21_14x_5)</f>
        <v>500</v>
      </c>
      <c r="Q74" s="2">
        <f>SUM(OSRRefD20_14x)+IFERROR(SUM(OSRRefE20_14x),0)</f>
        <v>12764.29</v>
      </c>
    </row>
    <row r="75" spans="1:17" s="35" customFormat="1" hidden="1" outlineLevel="1" x14ac:dyDescent="0.3">
      <c r="A75" s="34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/>
      <c r="G75" s="2">
        <v>1194.8900000000001</v>
      </c>
      <c r="H75" s="2"/>
      <c r="I75" s="2"/>
      <c r="J75" s="2">
        <v>200</v>
      </c>
      <c r="K75" s="2">
        <v>50</v>
      </c>
      <c r="L75" s="2">
        <v>50</v>
      </c>
      <c r="M75" s="2">
        <v>50</v>
      </c>
      <c r="N75" s="2">
        <v>50</v>
      </c>
      <c r="O75" s="2">
        <v>50</v>
      </c>
      <c r="P75" s="9"/>
      <c r="Q75" s="2">
        <f>SUM(OSRRefD21_14_0x)+IFERROR(SUM(OSRRefE21_14_0x),0)</f>
        <v>1644.89</v>
      </c>
    </row>
    <row r="76" spans="1:17" s="35" customFormat="1" hidden="1" outlineLevel="1" x14ac:dyDescent="0.3">
      <c r="A76" s="34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407.96</v>
      </c>
      <c r="F76" s="2">
        <v>119.22</v>
      </c>
      <c r="G76" s="2"/>
      <c r="H76" s="2"/>
      <c r="I76" s="2">
        <v>76.540000000000006</v>
      </c>
      <c r="J76" s="2">
        <v>50</v>
      </c>
      <c r="K76" s="2">
        <v>50</v>
      </c>
      <c r="L76" s="2">
        <v>0</v>
      </c>
      <c r="M76" s="2">
        <v>50</v>
      </c>
      <c r="N76" s="2">
        <v>0</v>
      </c>
      <c r="O76" s="2">
        <v>0</v>
      </c>
      <c r="P76" s="9"/>
      <c r="Q76" s="2">
        <f>SUM(OSRRefD21_14_1x)+IFERROR(SUM(OSRRefE21_14_1x),0)</f>
        <v>753.71999999999991</v>
      </c>
    </row>
    <row r="77" spans="1:17" s="35" customFormat="1" hidden="1" outlineLevel="1" x14ac:dyDescent="0.3">
      <c r="A77" s="34"/>
      <c r="B77" s="10" t="str">
        <f>CONCATENATE("          ","6241", " - ","OFFICE EXPENSE")</f>
        <v xml:space="preserve">          6241 - OFFICE EXPENSE</v>
      </c>
      <c r="C77" s="14"/>
      <c r="D77" s="2">
        <v>112.24</v>
      </c>
      <c r="E77" s="2">
        <v>22.5</v>
      </c>
      <c r="F77" s="2"/>
      <c r="G77" s="2">
        <v>42.74</v>
      </c>
      <c r="H77" s="2"/>
      <c r="I77" s="2">
        <v>36.71</v>
      </c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214.19000000000003</v>
      </c>
    </row>
    <row r="78" spans="1:17" s="35" customFormat="1" hidden="1" outlineLevel="1" x14ac:dyDescent="0.3">
      <c r="A78" s="34"/>
      <c r="B78" s="10" t="str">
        <f>CONCATENATE("          ","6243", " - ","PAPER SUPPLIES")</f>
        <v xml:space="preserve">          6243 - PAPER SUPPLIES</v>
      </c>
      <c r="C78" s="14"/>
      <c r="D78" s="2"/>
      <c r="E78" s="2"/>
      <c r="F78" s="2"/>
      <c r="G78" s="2"/>
      <c r="H78" s="2"/>
      <c r="I78" s="2"/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SUM(OSRRefD21_14_3x)+IFERROR(SUM(OSRRefE21_14_3x),0)</f>
        <v>1200</v>
      </c>
    </row>
    <row r="79" spans="1:17" s="35" customFormat="1" hidden="1" outlineLevel="1" x14ac:dyDescent="0.3">
      <c r="A79" s="34"/>
      <c r="B79" s="10" t="str">
        <f>CONCATENATE("          ","6247", " - ","STORE SUPPLIES")</f>
        <v xml:space="preserve">          6247 - STORE SUPPLIES</v>
      </c>
      <c r="C79" s="14"/>
      <c r="D79" s="2"/>
      <c r="E79" s="2">
        <v>300</v>
      </c>
      <c r="F79" s="2">
        <v>57.98</v>
      </c>
      <c r="G79" s="2">
        <v>206.13</v>
      </c>
      <c r="H79" s="2">
        <v>121.04</v>
      </c>
      <c r="I79" s="2">
        <v>66.34</v>
      </c>
      <c r="J79" s="2">
        <v>1700</v>
      </c>
      <c r="K79" s="2">
        <v>2500</v>
      </c>
      <c r="L79" s="2">
        <v>1050</v>
      </c>
      <c r="M79" s="2">
        <v>1250</v>
      </c>
      <c r="N79" s="2">
        <v>1450</v>
      </c>
      <c r="O79" s="2">
        <v>250</v>
      </c>
      <c r="P79" s="9"/>
      <c r="Q79" s="2">
        <f>SUM(OSRRefD21_14_4x)+IFERROR(SUM(OSRRefE21_14_4x),0)</f>
        <v>8951.49</v>
      </c>
    </row>
    <row r="80" spans="1:17" s="35" customFormat="1" collapsed="1" x14ac:dyDescent="0.3">
      <c r="A80" s="34"/>
      <c r="B80" s="14" t="str">
        <f>CONCATENATE("     ","Telephone/Data Lines                              ")</f>
        <v xml:space="preserve">     Telephone/Data Lines                              </v>
      </c>
      <c r="C80" s="14"/>
      <c r="D80" s="1">
        <f>SUM(OSRRefD21_15x_0)</f>
        <v>118.8</v>
      </c>
      <c r="E80" s="1">
        <f>SUM(OSRRefD21_15x_1)</f>
        <v>151.19999999999999</v>
      </c>
      <c r="F80" s="1">
        <f>SUM(OSRRefD21_15x_2)</f>
        <v>375.5</v>
      </c>
      <c r="G80" s="1">
        <f>SUM(OSRRefD21_15x_3)</f>
        <v>-146.5</v>
      </c>
      <c r="H80" s="1">
        <f>SUM(OSRRefD21_15x_4)</f>
        <v>52</v>
      </c>
      <c r="I80" s="1">
        <f>SUM(OSRRefD21_15x_5)</f>
        <v>603.5</v>
      </c>
      <c r="J80" s="1">
        <f>SUM(OSRRefE21_15x_0)</f>
        <v>178</v>
      </c>
      <c r="K80" s="1">
        <f>SUM(OSRRefE21_15x_1)</f>
        <v>178</v>
      </c>
      <c r="L80" s="1">
        <f>SUM(OSRRefE21_15x_2)</f>
        <v>178</v>
      </c>
      <c r="M80" s="1">
        <f>SUM(OSRRefE21_15x_3)</f>
        <v>178</v>
      </c>
      <c r="N80" s="1">
        <f>SUM(OSRRefE21_15x_4)</f>
        <v>178</v>
      </c>
      <c r="O80" s="1">
        <f>SUM(OSRRefE21_15x_5)</f>
        <v>178</v>
      </c>
      <c r="Q80" s="2">
        <f>SUM(OSRRefD20_15x)+IFERROR(SUM(OSRRefE20_15x),0)</f>
        <v>2222.5</v>
      </c>
    </row>
    <row r="81" spans="1:17" s="35" customFormat="1" hidden="1" outlineLevel="1" x14ac:dyDescent="0.3">
      <c r="A81" s="34"/>
      <c r="B81" s="10" t="str">
        <f>CONCATENATE("          ","6303", " - ","DATA PHONE LINES")</f>
        <v xml:space="preserve">          6303 - DATA PHONE LINES</v>
      </c>
      <c r="C81" s="14"/>
      <c r="D81" s="2"/>
      <c r="E81" s="2"/>
      <c r="F81" s="2"/>
      <c r="G81" s="2"/>
      <c r="H81" s="2"/>
      <c r="I81" s="2"/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9"/>
      <c r="Q81" s="2">
        <f>SUM(OSRRefD21_15_0x)+IFERROR(SUM(OSRRefE21_15_0x),0)</f>
        <v>300</v>
      </c>
    </row>
    <row r="82" spans="1:17" s="35" customFormat="1" hidden="1" outlineLevel="1" x14ac:dyDescent="0.3">
      <c r="A82" s="34"/>
      <c r="B82" s="10" t="str">
        <f>CONCATENATE("          ","6309", " - ","TELEPHONE")</f>
        <v xml:space="preserve">          6309 - TELEPHONE</v>
      </c>
      <c r="C82" s="14"/>
      <c r="D82" s="2">
        <v>118.8</v>
      </c>
      <c r="E82" s="2">
        <v>151.19999999999999</v>
      </c>
      <c r="F82" s="2">
        <v>375.5</v>
      </c>
      <c r="G82" s="2">
        <v>-146.5</v>
      </c>
      <c r="H82" s="2">
        <v>52</v>
      </c>
      <c r="I82" s="2">
        <v>603.5</v>
      </c>
      <c r="J82" s="2">
        <v>128</v>
      </c>
      <c r="K82" s="2">
        <v>128</v>
      </c>
      <c r="L82" s="2">
        <v>128</v>
      </c>
      <c r="M82" s="2">
        <v>128</v>
      </c>
      <c r="N82" s="2">
        <v>128</v>
      </c>
      <c r="O82" s="2">
        <v>128</v>
      </c>
      <c r="P82" s="9"/>
      <c r="Q82" s="2">
        <f>SUM(OSRRefD21_15_1x)+IFERROR(SUM(OSRRefE21_15_1x),0)</f>
        <v>1922.5</v>
      </c>
    </row>
    <row r="83" spans="1:17" s="35" customFormat="1" collapsed="1" x14ac:dyDescent="0.3">
      <c r="A83" s="34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SUM(OSRRefD21_16x_0)</f>
        <v>0</v>
      </c>
      <c r="E83" s="1">
        <f>SUM(OSRRefD21_16x_1)</f>
        <v>0</v>
      </c>
      <c r="F83" s="1">
        <f>SUM(OSRRefD21_16x_2)</f>
        <v>0</v>
      </c>
      <c r="G83" s="1">
        <f>SUM(OSRRefD21_16x_3)</f>
        <v>0</v>
      </c>
      <c r="H83" s="1">
        <f>SUM(OSRRefD21_16x_4)</f>
        <v>0</v>
      </c>
      <c r="I83" s="1">
        <f>SUM(OSRRefD21_16x_5)</f>
        <v>0</v>
      </c>
      <c r="J83" s="1">
        <f>SUM(OSRRefE21_16x_0)</f>
        <v>75</v>
      </c>
      <c r="K83" s="1">
        <f>SUM(OSRRefE21_16x_1)</f>
        <v>0</v>
      </c>
      <c r="L83" s="1">
        <f>SUM(OSRRefE21_16x_2)</f>
        <v>0</v>
      </c>
      <c r="M83" s="1">
        <f>SUM(OSRRefE21_16x_3)</f>
        <v>0</v>
      </c>
      <c r="N83" s="1">
        <f>SUM(OSRRefE21_16x_4)</f>
        <v>0</v>
      </c>
      <c r="O83" s="1">
        <f>SUM(OSRRefE21_16x_5)</f>
        <v>0</v>
      </c>
      <c r="Q83" s="2">
        <f>SUM(OSRRefD20_16x)+IFERROR(SUM(OSRRefE20_16x),0)</f>
        <v>75</v>
      </c>
    </row>
    <row r="84" spans="1:17" s="35" customFormat="1" hidden="1" outlineLevel="1" x14ac:dyDescent="0.3">
      <c r="A84" s="34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75</v>
      </c>
      <c r="K84" s="2"/>
      <c r="L84" s="2">
        <v>0</v>
      </c>
      <c r="M84" s="2"/>
      <c r="N84" s="2"/>
      <c r="O84" s="2"/>
      <c r="P84" s="9"/>
      <c r="Q84" s="2">
        <f>SUM(OSRRefD21_16_0x)+IFERROR(SUM(OSRRefE21_16_0x),0)</f>
        <v>75</v>
      </c>
    </row>
    <row r="85" spans="1:17" s="35" customFormat="1" collapsed="1" x14ac:dyDescent="0.3">
      <c r="A85" s="34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SUM(OSRRefD21_17x_0)</f>
        <v>100</v>
      </c>
      <c r="E85" s="1">
        <f>SUM(OSRRefD21_17x_1)</f>
        <v>100</v>
      </c>
      <c r="F85" s="1">
        <f>SUM(OSRRefD21_17x_2)</f>
        <v>100</v>
      </c>
      <c r="G85" s="1">
        <f>SUM(OSRRefD21_17x_3)</f>
        <v>100</v>
      </c>
      <c r="H85" s="1">
        <f>SUM(OSRRefD21_17x_4)</f>
        <v>100</v>
      </c>
      <c r="I85" s="1">
        <f>SUM(OSRRefD21_17x_5)</f>
        <v>100</v>
      </c>
      <c r="J85" s="1">
        <f>SUM(OSRRefE21_17x_0)</f>
        <v>0</v>
      </c>
      <c r="K85" s="1">
        <f>SUM(OSRRefE21_17x_1)</f>
        <v>0</v>
      </c>
      <c r="L85" s="1">
        <f>SUM(OSRRefE21_17x_2)</f>
        <v>0</v>
      </c>
      <c r="M85" s="1">
        <f>SUM(OSRRefE21_17x_3)</f>
        <v>0</v>
      </c>
      <c r="N85" s="1">
        <f>SUM(OSRRefE21_17x_4)</f>
        <v>0</v>
      </c>
      <c r="O85" s="1">
        <f>SUM(OSRRefE21_17x_5)</f>
        <v>0</v>
      </c>
      <c r="Q85" s="2">
        <f>SUM(OSRRefD20_17x)+IFERROR(SUM(OSRRefE20_17x),0)</f>
        <v>600</v>
      </c>
    </row>
    <row r="86" spans="1:17" s="35" customFormat="1" hidden="1" outlineLevel="1" x14ac:dyDescent="0.3">
      <c r="A86" s="34"/>
      <c r="B86" s="10" t="str">
        <f>CONCATENATE("          ","6274", " - ","UTILITIES")</f>
        <v xml:space="preserve">          6274 - UTILITIES</v>
      </c>
      <c r="C86" s="14"/>
      <c r="D86" s="2">
        <v>100</v>
      </c>
      <c r="E86" s="2">
        <v>100</v>
      </c>
      <c r="F86" s="2">
        <v>100</v>
      </c>
      <c r="G86" s="2">
        <v>100</v>
      </c>
      <c r="H86" s="2">
        <v>100</v>
      </c>
      <c r="I86" s="2">
        <v>100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SUM(OSRRefD21_17_0x)+IFERROR(SUM(OSRRefE21_17_0x),0)</f>
        <v>600</v>
      </c>
    </row>
    <row r="87" spans="1:17" s="29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I88" si="4">0</f>
        <v>0</v>
      </c>
      <c r="E88" s="3">
        <f t="shared" si="4"/>
        <v>0</v>
      </c>
      <c r="F88" s="3">
        <f t="shared" si="4"/>
        <v>0</v>
      </c>
      <c r="G88" s="3">
        <f t="shared" si="4"/>
        <v>0</v>
      </c>
      <c r="H88" s="3">
        <f t="shared" si="4"/>
        <v>0</v>
      </c>
      <c r="I88" s="3">
        <f t="shared" si="4"/>
        <v>0</v>
      </c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5">IFERROR(+D21-D24+D88, 0)</f>
        <v>-11929.900000000001</v>
      </c>
      <c r="E90" s="7">
        <f t="shared" si="5"/>
        <v>-24662.84</v>
      </c>
      <c r="F90" s="7">
        <f t="shared" si="5"/>
        <v>-10334.240000000002</v>
      </c>
      <c r="G90" s="7">
        <f t="shared" si="5"/>
        <v>-6717.0600000000049</v>
      </c>
      <c r="H90" s="7">
        <f t="shared" si="5"/>
        <v>-17256.630000000005</v>
      </c>
      <c r="I90" s="7">
        <f t="shared" si="5"/>
        <v>-17002.489999999998</v>
      </c>
      <c r="J90" s="7">
        <f t="shared" si="5"/>
        <v>-16668.808669634614</v>
      </c>
      <c r="K90" s="7">
        <f t="shared" si="5"/>
        <v>3774.760032692313</v>
      </c>
      <c r="L90" s="7">
        <f t="shared" si="5"/>
        <v>6050.7223109423066</v>
      </c>
      <c r="M90" s="7">
        <f t="shared" si="5"/>
        <v>-3464.9786031346157</v>
      </c>
      <c r="N90" s="7">
        <f t="shared" si="5"/>
        <v>-11142.694589807696</v>
      </c>
      <c r="O90" s="7">
        <f t="shared" si="5"/>
        <v>-21664.54540580769</v>
      </c>
      <c r="Q90" s="7">
        <f>IFERROR(+Q21-Q24+Q88, 0)</f>
        <v>-131018.70492474997</v>
      </c>
    </row>
    <row r="91" spans="1:17" s="6" customFormat="1" x14ac:dyDescent="0.3">
      <c r="B91" s="16"/>
      <c r="C91" s="16"/>
      <c r="D91" s="4">
        <f t="shared" ref="D91:O91" si="6">IFERROR(D90/D10, 0)</f>
        <v>0</v>
      </c>
      <c r="E91" s="4">
        <f t="shared" si="6"/>
        <v>-3.700273362600035</v>
      </c>
      <c r="F91" s="4">
        <f t="shared" si="6"/>
        <v>-0.64136437264552015</v>
      </c>
      <c r="G91" s="4">
        <f t="shared" si="6"/>
        <v>-0.26004827710360628</v>
      </c>
      <c r="H91" s="4">
        <f t="shared" si="6"/>
        <v>-1.1263243912515937</v>
      </c>
      <c r="I91" s="4">
        <f t="shared" si="6"/>
        <v>-1.3625733478012085</v>
      </c>
      <c r="J91" s="4">
        <f t="shared" si="6"/>
        <v>-0.47052471827569059</v>
      </c>
      <c r="K91" s="4">
        <f t="shared" si="6"/>
        <v>3.9083473449424457E-2</v>
      </c>
      <c r="L91" s="4">
        <f t="shared" si="6"/>
        <v>6.5445760172002362E-2</v>
      </c>
      <c r="M91" s="4">
        <f t="shared" si="6"/>
        <v>-4.1210987323048745E-2</v>
      </c>
      <c r="N91" s="4">
        <f t="shared" si="6"/>
        <v>-0.26052594317997885</v>
      </c>
      <c r="O91" s="4">
        <f t="shared" si="6"/>
        <v>-1.6633048296205519</v>
      </c>
      <c r="P91" s="18"/>
      <c r="Q91" s="4">
        <f>IFERROR(Q90/Q10, 0)</f>
        <v>-0.29726746945729199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995.99</v>
      </c>
      <c r="F93" s="3">
        <v>1823.38</v>
      </c>
      <c r="G93" s="3">
        <v>2799.33</v>
      </c>
      <c r="H93" s="3">
        <v>1996.03</v>
      </c>
      <c r="I93" s="3">
        <v>1582.51</v>
      </c>
      <c r="J93" s="3">
        <v>3797</v>
      </c>
      <c r="K93" s="3">
        <v>11231</v>
      </c>
      <c r="L93" s="3">
        <v>11126</v>
      </c>
      <c r="M93" s="3">
        <v>10809</v>
      </c>
      <c r="N93" s="3">
        <v>5739</v>
      </c>
      <c r="O93" s="3">
        <v>-3859</v>
      </c>
      <c r="Q93" s="2">
        <f>SUM(OSRRefD28_0x)+IFERROR(SUM(OSRRefE28_0x),0)</f>
        <v>48040.24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7">IFERROR(+D90-D93, 0)</f>
        <v>-11929.900000000001</v>
      </c>
      <c r="E95" s="8">
        <f t="shared" si="7"/>
        <v>-25658.83</v>
      </c>
      <c r="F95" s="8">
        <f t="shared" si="7"/>
        <v>-12157.620000000003</v>
      </c>
      <c r="G95" s="8">
        <f t="shared" si="7"/>
        <v>-9516.3900000000049</v>
      </c>
      <c r="H95" s="8">
        <f t="shared" si="7"/>
        <v>-19252.660000000003</v>
      </c>
      <c r="I95" s="8">
        <f t="shared" si="7"/>
        <v>-18584.999999999996</v>
      </c>
      <c r="J95" s="8">
        <f t="shared" si="7"/>
        <v>-20465.808669634614</v>
      </c>
      <c r="K95" s="8">
        <f t="shared" si="7"/>
        <v>-7456.239967307687</v>
      </c>
      <c r="L95" s="8">
        <f t="shared" si="7"/>
        <v>-5075.2776890576934</v>
      </c>
      <c r="M95" s="8">
        <f t="shared" si="7"/>
        <v>-14273.978603134616</v>
      </c>
      <c r="N95" s="8">
        <f t="shared" si="7"/>
        <v>-16881.694589807696</v>
      </c>
      <c r="O95" s="8">
        <f t="shared" si="7"/>
        <v>-17805.54540580769</v>
      </c>
      <c r="Q95" s="8">
        <f>IFERROR(+Q90-Q93, 0)</f>
        <v>-179058.94492474996</v>
      </c>
    </row>
    <row r="96" spans="1:17" ht="15" thickTop="1" x14ac:dyDescent="0.3">
      <c r="A96" s="5"/>
      <c r="B96" s="5"/>
      <c r="C96" s="5"/>
      <c r="D96" s="4">
        <f t="shared" ref="D96:O96" si="8">IFERROR(D95/D10, 0)</f>
        <v>0</v>
      </c>
      <c r="E96" s="4">
        <f t="shared" si="8"/>
        <v>-3.8497060826929368</v>
      </c>
      <c r="F96" s="4">
        <f t="shared" si="8"/>
        <v>-0.75452711802344719</v>
      </c>
      <c r="G96" s="4">
        <f t="shared" si="8"/>
        <v>-0.36842321249862098</v>
      </c>
      <c r="H96" s="4">
        <f t="shared" si="8"/>
        <v>-1.2566034361560692</v>
      </c>
      <c r="I96" s="4">
        <f t="shared" si="8"/>
        <v>-1.489395122060678</v>
      </c>
      <c r="J96" s="4">
        <f t="shared" si="8"/>
        <v>-0.57770588465066941</v>
      </c>
      <c r="K96" s="4">
        <f t="shared" si="8"/>
        <v>-7.7201134448527539E-2</v>
      </c>
      <c r="L96" s="4">
        <f t="shared" si="8"/>
        <v>-5.4895166126481203E-2</v>
      </c>
      <c r="M96" s="4">
        <f t="shared" si="8"/>
        <v>-0.16976865332763966</v>
      </c>
      <c r="N96" s="4">
        <f t="shared" si="8"/>
        <v>-0.39470878161813644</v>
      </c>
      <c r="O96" s="4">
        <f t="shared" si="8"/>
        <v>-1.3670284380658495</v>
      </c>
      <c r="P96" s="18"/>
      <c r="Q96" s="4">
        <f>IFERROR(Q95/Q10, 0)</f>
        <v>-0.40626565093926503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9">IFERROR(SUM(D95:D98), 0)</f>
        <v>-11929.900000000001</v>
      </c>
      <c r="E99" s="8">
        <f t="shared" si="9"/>
        <v>-25662.679706082694</v>
      </c>
      <c r="F99" s="8">
        <f t="shared" si="9"/>
        <v>-12158.374527118027</v>
      </c>
      <c r="G99" s="8">
        <f t="shared" si="9"/>
        <v>-9516.7584232125027</v>
      </c>
      <c r="H99" s="8">
        <f t="shared" si="9"/>
        <v>-19253.916603436159</v>
      </c>
      <c r="I99" s="8">
        <f t="shared" si="9"/>
        <v>-18586.489395122058</v>
      </c>
      <c r="J99" s="8">
        <f t="shared" si="9"/>
        <v>-20466.386375519265</v>
      </c>
      <c r="K99" s="8">
        <f t="shared" si="9"/>
        <v>-7456.3171684421359</v>
      </c>
      <c r="L99" s="8">
        <f t="shared" si="9"/>
        <v>-5075.33258422382</v>
      </c>
      <c r="M99" s="8">
        <f t="shared" si="9"/>
        <v>-14274.148371787944</v>
      </c>
      <c r="N99" s="8">
        <f t="shared" si="9"/>
        <v>-16882.089298589315</v>
      </c>
      <c r="O99" s="8">
        <f t="shared" si="9"/>
        <v>-17806.912434245754</v>
      </c>
      <c r="Q99" s="8">
        <f>IFERROR(SUM(Q95:Q98), 0)</f>
        <v>-179059.35119040089</v>
      </c>
    </row>
    <row r="100" spans="1:17" ht="15" thickTop="1" x14ac:dyDescent="0.3">
      <c r="A100" s="5"/>
      <c r="C100" s="5"/>
      <c r="D100" s="4">
        <f t="shared" ref="D100:O100" si="10">IFERROR(D99/D10, 0)</f>
        <v>0</v>
      </c>
      <c r="E100" s="4">
        <f t="shared" si="10"/>
        <v>-3.8502836708730337</v>
      </c>
      <c r="F100" s="4">
        <f t="shared" si="10"/>
        <v>-0.75457394554164847</v>
      </c>
      <c r="G100" s="4">
        <f t="shared" si="10"/>
        <v>-0.36843747585515718</v>
      </c>
      <c r="H100" s="4">
        <f t="shared" si="10"/>
        <v>-1.2566854535082563</v>
      </c>
      <c r="I100" s="4">
        <f t="shared" si="10"/>
        <v>-1.4895144816425785</v>
      </c>
      <c r="J100" s="4">
        <f t="shared" si="10"/>
        <v>-0.57772219204875697</v>
      </c>
      <c r="K100" s="4">
        <f t="shared" si="10"/>
        <v>-7.7201933781057913E-2</v>
      </c>
      <c r="L100" s="4">
        <f t="shared" si="10"/>
        <v>-5.4895759883010146E-2</v>
      </c>
      <c r="M100" s="4">
        <f t="shared" si="10"/>
        <v>-0.16977067248406788</v>
      </c>
      <c r="N100" s="4">
        <f t="shared" si="10"/>
        <v>-0.39471801025460174</v>
      </c>
      <c r="O100" s="4">
        <f t="shared" si="10"/>
        <v>-1.3671333922645492</v>
      </c>
      <c r="P100" s="18"/>
      <c r="Q100" s="4">
        <f>IFERROR(Q99/Q10, 0)</f>
        <v>-0.40626657271270228</v>
      </c>
    </row>
    <row r="101" spans="1:17" x14ac:dyDescent="0.3">
      <c r="A101" s="5"/>
      <c r="B101" s="28">
        <v>44575.850630868059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26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5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","309", " - ", "Carts")</f>
        <v>Department 309 - Carts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770.79000000000008</v>
      </c>
      <c r="E17" s="12">
        <f>SUM(OSRRefD20x_1)</f>
        <v>893.71</v>
      </c>
      <c r="F17" s="12">
        <f>SUM(OSRRefD20x_2)</f>
        <v>818.69</v>
      </c>
      <c r="G17" s="12">
        <f>SUM(OSRRefD20x_3)</f>
        <v>770.79000000000008</v>
      </c>
      <c r="H17" s="12">
        <f>SUM(OSRRefD20x_4)</f>
        <v>1205.79</v>
      </c>
      <c r="I17" s="12">
        <f>SUM(OSRRefD20x_5)</f>
        <v>852.91000000000008</v>
      </c>
      <c r="J17" s="12">
        <f>SUM(OSRRefE20x_0)</f>
        <v>588</v>
      </c>
      <c r="K17" s="12">
        <f>SUM(OSRRefE20x_1)</f>
        <v>588</v>
      </c>
      <c r="L17" s="12">
        <f>SUM(OSRRefE20x_2)</f>
        <v>588</v>
      </c>
      <c r="M17" s="12">
        <f>SUM(OSRRefE20x_3)</f>
        <v>588</v>
      </c>
      <c r="N17" s="12">
        <f>SUM(OSRRefE20x_4)</f>
        <v>588</v>
      </c>
      <c r="O17" s="12">
        <f>SUM(OSRRefE20x_5)</f>
        <v>588</v>
      </c>
      <c r="Q17" s="12">
        <f>SUM(OSRRefG20x)</f>
        <v>8840.68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588.94000000000005</v>
      </c>
      <c r="E18" s="1">
        <f>SUM(OSRRefD21_0x_1)</f>
        <v>588.94000000000005</v>
      </c>
      <c r="F18" s="1">
        <f>SUM(OSRRefD21_0x_2)</f>
        <v>588.94000000000005</v>
      </c>
      <c r="G18" s="1">
        <f>SUM(OSRRefD21_0x_3)</f>
        <v>588.94000000000005</v>
      </c>
      <c r="H18" s="1">
        <f>SUM(OSRRefD21_0x_4)</f>
        <v>588.94000000000005</v>
      </c>
      <c r="I18" s="1">
        <f>SUM(OSRRefD21_0x_5)</f>
        <v>588.94000000000005</v>
      </c>
      <c r="J18" s="1">
        <f>SUM(OSRRefE21_0x_0)</f>
        <v>588</v>
      </c>
      <c r="K18" s="1">
        <f>SUM(OSRRefE21_0x_1)</f>
        <v>588</v>
      </c>
      <c r="L18" s="1">
        <f>SUM(OSRRefE21_0x_2)</f>
        <v>588</v>
      </c>
      <c r="M18" s="1">
        <f>SUM(OSRRefE21_0x_3)</f>
        <v>588</v>
      </c>
      <c r="N18" s="1">
        <f>SUM(OSRRefE21_0x_4)</f>
        <v>588</v>
      </c>
      <c r="O18" s="1">
        <f>SUM(OSRRefE21_0x_5)</f>
        <v>588</v>
      </c>
      <c r="Q18" s="2">
        <f>SUM(OSRRefD20_0x)+IFERROR(SUM(OSRRefE20_0x),0)</f>
        <v>7061.64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588.94000000000005</v>
      </c>
      <c r="E19" s="2">
        <v>588.94000000000005</v>
      </c>
      <c r="F19" s="2">
        <v>588.94000000000005</v>
      </c>
      <c r="G19" s="2">
        <v>588.94000000000005</v>
      </c>
      <c r="H19" s="2">
        <v>588.94000000000005</v>
      </c>
      <c r="I19" s="2">
        <v>588.94000000000005</v>
      </c>
      <c r="J19" s="2">
        <v>588</v>
      </c>
      <c r="K19" s="2">
        <v>588</v>
      </c>
      <c r="L19" s="2">
        <v>588</v>
      </c>
      <c r="M19" s="2">
        <v>588</v>
      </c>
      <c r="N19" s="2">
        <v>588</v>
      </c>
      <c r="O19" s="2">
        <v>588</v>
      </c>
      <c r="P19" s="9"/>
      <c r="Q19" s="2">
        <f>SUM(OSRRefD21_0_0x)+IFERROR(SUM(OSRRefE21_0_0x),0)</f>
        <v>7061.64</v>
      </c>
    </row>
    <row r="20" spans="1:17" s="35" customFormat="1" collapsed="1" x14ac:dyDescent="0.3">
      <c r="A20" s="34"/>
      <c r="B20" s="14" t="str">
        <f>CONCATENATE("     ","Equipment Rental                                  ")</f>
        <v xml:space="preserve">     Equipment Rental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30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30</v>
      </c>
    </row>
    <row r="21" spans="1:17" s="35" customFormat="1" hidden="1" outlineLevel="1" x14ac:dyDescent="0.3">
      <c r="A21" s="34"/>
      <c r="B21" s="10" t="str">
        <f>CONCATENATE("          ","6351", " - ","EQUIPMENT RENTAL")</f>
        <v xml:space="preserve">          6351 - EQUIPMENT RENTAL</v>
      </c>
      <c r="C21" s="14"/>
      <c r="D21" s="2"/>
      <c r="E21" s="2"/>
      <c r="F21" s="2"/>
      <c r="G21" s="2"/>
      <c r="H21" s="2"/>
      <c r="I21" s="2">
        <v>30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30</v>
      </c>
    </row>
    <row r="22" spans="1:17" s="35" customFormat="1" collapsed="1" x14ac:dyDescent="0.3">
      <c r="A22" s="34"/>
      <c r="B22" s="14" t="str">
        <f>CONCATENATE("     ","General                                           ")</f>
        <v xml:space="preserve">     General                                           </v>
      </c>
      <c r="C22" s="14"/>
      <c r="D22" s="1">
        <f>SUM(OSRRefD21_2x_0)</f>
        <v>0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435</v>
      </c>
      <c r="I22" s="1">
        <f>SUM(OSRRefD21_2x_5)</f>
        <v>0</v>
      </c>
      <c r="J22" s="1">
        <f>SUM(OSRRefE21_2x_0)</f>
        <v>0</v>
      </c>
      <c r="K22" s="1">
        <f>SUM(OSRRefE21_2x_1)</f>
        <v>0</v>
      </c>
      <c r="L22" s="1">
        <f>SUM(OSRRefE21_2x_2)</f>
        <v>0</v>
      </c>
      <c r="M22" s="1">
        <f>SUM(OSRRefE21_2x_3)</f>
        <v>0</v>
      </c>
      <c r="N22" s="1">
        <f>SUM(OSRRefE21_2x_4)</f>
        <v>0</v>
      </c>
      <c r="O22" s="1">
        <f>SUM(OSRRefE21_2x_5)</f>
        <v>0</v>
      </c>
      <c r="Q22" s="2">
        <f>SUM(OSRRefD20_2x)+IFERROR(SUM(OSRRefE20_2x),0)</f>
        <v>435</v>
      </c>
    </row>
    <row r="23" spans="1:17" s="35" customFormat="1" hidden="1" outlineLevel="1" x14ac:dyDescent="0.3">
      <c r="A23" s="34"/>
      <c r="B23" s="10" t="str">
        <f>CONCATENATE("          ","6279", " - ","GENERAL EXPENSE")</f>
        <v xml:space="preserve">          6279 - GENERAL EXPENSE</v>
      </c>
      <c r="C23" s="14"/>
      <c r="D23" s="2"/>
      <c r="E23" s="2"/>
      <c r="F23" s="2"/>
      <c r="G23" s="2"/>
      <c r="H23" s="2">
        <v>435</v>
      </c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435</v>
      </c>
    </row>
    <row r="24" spans="1:17" s="35" customFormat="1" collapsed="1" x14ac:dyDescent="0.3">
      <c r="A24" s="34"/>
      <c r="B24" s="14" t="str">
        <f>CONCATENATE("     ","Repair and Maintenance                            ")</f>
        <v xml:space="preserve">     Repair and Maintenance                            </v>
      </c>
      <c r="C24" s="14"/>
      <c r="D24" s="1">
        <f>SUM(OSRRefD21_3x_0)</f>
        <v>0</v>
      </c>
      <c r="E24" s="1">
        <f>SUM(OSRRefD21_3x_1)</f>
        <v>0</v>
      </c>
      <c r="F24" s="1">
        <f>SUM(OSRRefD21_3x_2)</f>
        <v>47.9</v>
      </c>
      <c r="G24" s="1">
        <f>SUM(OSRRefD21_3x_3)</f>
        <v>0</v>
      </c>
      <c r="H24" s="1">
        <f>SUM(OSRRefD21_3x_4)</f>
        <v>0</v>
      </c>
      <c r="I24" s="1">
        <f>SUM(OSRRefD21_3x_5)</f>
        <v>49.93</v>
      </c>
      <c r="J24" s="1">
        <f>SUM(OSRRefE21_3x_0)</f>
        <v>0</v>
      </c>
      <c r="K24" s="1">
        <f>SUM(OSRRefE21_3x_1)</f>
        <v>0</v>
      </c>
      <c r="L24" s="1">
        <f>SUM(OSRRefE21_3x_2)</f>
        <v>0</v>
      </c>
      <c r="M24" s="1">
        <f>SUM(OSRRefE21_3x_3)</f>
        <v>0</v>
      </c>
      <c r="N24" s="1">
        <f>SUM(OSRRefE21_3x_4)</f>
        <v>0</v>
      </c>
      <c r="O24" s="1">
        <f>SUM(OSRRefE21_3x_5)</f>
        <v>0</v>
      </c>
      <c r="Q24" s="2">
        <f>SUM(OSRRefD20_3x)+IFERROR(SUM(OSRRefE20_3x),0)</f>
        <v>97.83</v>
      </c>
    </row>
    <row r="25" spans="1:17" s="35" customFormat="1" hidden="1" outlineLevel="1" x14ac:dyDescent="0.3">
      <c r="A25" s="34"/>
      <c r="B25" s="10" t="str">
        <f>CONCATENATE("          ","6373", " - ","MAINTENANCE CONTRACTS")</f>
        <v xml:space="preserve">          6373 - MAINTENANCE CONTRACTS</v>
      </c>
      <c r="C25" s="14"/>
      <c r="D25" s="2"/>
      <c r="E25" s="2"/>
      <c r="F25" s="2">
        <v>47.9</v>
      </c>
      <c r="G25" s="2"/>
      <c r="H25" s="2"/>
      <c r="I25" s="2">
        <v>49.93</v>
      </c>
      <c r="J25" s="2"/>
      <c r="K25" s="2"/>
      <c r="L25" s="2"/>
      <c r="M25" s="2"/>
      <c r="N25" s="2"/>
      <c r="O25" s="2"/>
      <c r="P25" s="9"/>
      <c r="Q25" s="2">
        <f>SUM(OSRRefD21_3_0x)+IFERROR(SUM(OSRRefE21_3_0x),0)</f>
        <v>97.83</v>
      </c>
    </row>
    <row r="26" spans="1:17" s="35" customFormat="1" collapsed="1" x14ac:dyDescent="0.3">
      <c r="A26" s="34"/>
      <c r="B26" s="14" t="str">
        <f>CONCATENATE("     ","Services                                          ")</f>
        <v xml:space="preserve">     Services                                          </v>
      </c>
      <c r="C26" s="14"/>
      <c r="D26" s="1">
        <f>SUM(OSRRefD21_4x_0)</f>
        <v>151.85</v>
      </c>
      <c r="E26" s="1">
        <f>SUM(OSRRefD21_4x_1)</f>
        <v>274.77</v>
      </c>
      <c r="F26" s="1">
        <f>SUM(OSRRefD21_4x_2)</f>
        <v>151.85</v>
      </c>
      <c r="G26" s="1">
        <f>SUM(OSRRefD21_4x_3)</f>
        <v>151.85</v>
      </c>
      <c r="H26" s="1">
        <f>SUM(OSRRefD21_4x_4)</f>
        <v>151.85</v>
      </c>
      <c r="I26" s="1">
        <f>SUM(OSRRefD21_4x_5)</f>
        <v>151.85</v>
      </c>
      <c r="J26" s="1">
        <f>SUM(OSRRefE21_4x_0)</f>
        <v>0</v>
      </c>
      <c r="K26" s="1">
        <f>SUM(OSRRefE21_4x_1)</f>
        <v>0</v>
      </c>
      <c r="L26" s="1">
        <f>SUM(OSRRefE21_4x_2)</f>
        <v>0</v>
      </c>
      <c r="M26" s="1">
        <f>SUM(OSRRefE21_4x_3)</f>
        <v>0</v>
      </c>
      <c r="N26" s="1">
        <f>SUM(OSRRefE21_4x_4)</f>
        <v>0</v>
      </c>
      <c r="O26" s="1">
        <f>SUM(OSRRefE21_4x_5)</f>
        <v>0</v>
      </c>
      <c r="Q26" s="2">
        <f>SUM(OSRRefD20_4x)+IFERROR(SUM(OSRRefE20_4x),0)</f>
        <v>1034.02</v>
      </c>
    </row>
    <row r="27" spans="1:17" s="35" customFormat="1" hidden="1" outlineLevel="1" x14ac:dyDescent="0.3">
      <c r="A27" s="34"/>
      <c r="B27" s="10" t="str">
        <f>CONCATENATE("          ","6282", " - ","JANITORIAL/EXTERMINATOR EXPENS")</f>
        <v xml:space="preserve">          6282 - JANITORIAL/EXTERMINATOR EXPENS</v>
      </c>
      <c r="C27" s="14"/>
      <c r="D27" s="2">
        <v>151.85</v>
      </c>
      <c r="E27" s="2">
        <v>151.85</v>
      </c>
      <c r="F27" s="2">
        <v>151.85</v>
      </c>
      <c r="G27" s="2">
        <v>151.85</v>
      </c>
      <c r="H27" s="2">
        <v>151.85</v>
      </c>
      <c r="I27" s="2">
        <v>151.85</v>
      </c>
      <c r="J27" s="2"/>
      <c r="K27" s="2"/>
      <c r="L27" s="2"/>
      <c r="M27" s="2"/>
      <c r="N27" s="2"/>
      <c r="O27" s="2"/>
      <c r="P27" s="9"/>
      <c r="Q27" s="2">
        <f>SUM(OSRRefD21_4_0x)+IFERROR(SUM(OSRRefE21_4_0x),0)</f>
        <v>911.1</v>
      </c>
    </row>
    <row r="28" spans="1:17" s="35" customFormat="1" hidden="1" outlineLevel="1" x14ac:dyDescent="0.3">
      <c r="A28" s="34"/>
      <c r="B28" s="10" t="str">
        <f>CONCATENATE("          ","6285", " - ","JANITORIAL SERVICES")</f>
        <v xml:space="preserve">          6285 - JANITORIAL SERVICES</v>
      </c>
      <c r="C28" s="14"/>
      <c r="D28" s="2"/>
      <c r="E28" s="2">
        <v>122.92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9"/>
      <c r="Q28" s="2">
        <f>SUM(OSRRefD21_4_1x)+IFERROR(SUM(OSRRefE21_4_1x),0)</f>
        <v>122.92</v>
      </c>
    </row>
    <row r="29" spans="1:17" s="35" customFormat="1" collapsed="1" x14ac:dyDescent="0.3">
      <c r="A29" s="34"/>
      <c r="B29" s="14" t="str">
        <f>CONCATENATE("     ","Supplies                                          ")</f>
        <v xml:space="preserve">     Supplies                                          </v>
      </c>
      <c r="C29" s="14"/>
      <c r="D29" s="1">
        <f>SUM(OSRRefD21_5x_0)</f>
        <v>0</v>
      </c>
      <c r="E29" s="1">
        <f>SUM(OSRRefD21_5x_1)</f>
        <v>0</v>
      </c>
      <c r="F29" s="1">
        <f>SUM(OSRRefD21_5x_2)</f>
        <v>0</v>
      </c>
      <c r="G29" s="1">
        <f>SUM(OSRRefD21_5x_3)</f>
        <v>0</v>
      </c>
      <c r="H29" s="1">
        <f>SUM(OSRRefD21_5x_4)</f>
        <v>0</v>
      </c>
      <c r="I29" s="1">
        <f>SUM(OSRRefD21_5x_5)</f>
        <v>2.19</v>
      </c>
      <c r="J29" s="1">
        <f>SUM(OSRRefE21_5x_0)</f>
        <v>0</v>
      </c>
      <c r="K29" s="1">
        <f>SUM(OSRRefE21_5x_1)</f>
        <v>0</v>
      </c>
      <c r="L29" s="1">
        <f>SUM(OSRRefE21_5x_2)</f>
        <v>0</v>
      </c>
      <c r="M29" s="1">
        <f>SUM(OSRRefE21_5x_3)</f>
        <v>0</v>
      </c>
      <c r="N29" s="1">
        <f>SUM(OSRRefE21_5x_4)</f>
        <v>0</v>
      </c>
      <c r="O29" s="1">
        <f>SUM(OSRRefE21_5x_5)</f>
        <v>0</v>
      </c>
      <c r="Q29" s="2">
        <f>SUM(OSRRefD20_5x)+IFERROR(SUM(OSRRefE20_5x),0)</f>
        <v>2.19</v>
      </c>
    </row>
    <row r="30" spans="1:17" s="35" customFormat="1" hidden="1" outlineLevel="1" x14ac:dyDescent="0.3">
      <c r="A30" s="34"/>
      <c r="B30" s="10" t="str">
        <f>CONCATENATE("          ","6241", " - ","OFFICE EXPENSE")</f>
        <v xml:space="preserve">          6241 - OFFICE EXPENSE</v>
      </c>
      <c r="C30" s="14"/>
      <c r="D30" s="2"/>
      <c r="E30" s="2"/>
      <c r="F30" s="2"/>
      <c r="G30" s="2"/>
      <c r="H30" s="2"/>
      <c r="I30" s="2">
        <v>2.19</v>
      </c>
      <c r="J30" s="2"/>
      <c r="K30" s="2"/>
      <c r="L30" s="2"/>
      <c r="M30" s="2"/>
      <c r="N30" s="2"/>
      <c r="O30" s="2"/>
      <c r="P30" s="9"/>
      <c r="Q30" s="2">
        <f>SUM(OSRRefD21_5_0x)+IFERROR(SUM(OSRRefE21_5_0x),0)</f>
        <v>2.19</v>
      </c>
    </row>
    <row r="31" spans="1:17" s="35" customFormat="1" collapsed="1" x14ac:dyDescent="0.3">
      <c r="A31" s="34"/>
      <c r="B31" s="14" t="str">
        <f>CONCATENATE("     ","Telephone/Data Lines                              ")</f>
        <v xml:space="preserve">     Telephone/Data Lines                              </v>
      </c>
      <c r="C31" s="14"/>
      <c r="D31" s="1">
        <f>SUM(OSRRefD21_6x_0)</f>
        <v>30</v>
      </c>
      <c r="E31" s="1">
        <f>SUM(OSRRefD21_6x_1)</f>
        <v>30</v>
      </c>
      <c r="F31" s="1">
        <f>SUM(OSRRefD21_6x_2)</f>
        <v>30</v>
      </c>
      <c r="G31" s="1">
        <f>SUM(OSRRefD21_6x_3)</f>
        <v>30</v>
      </c>
      <c r="H31" s="1">
        <f>SUM(OSRRefD21_6x_4)</f>
        <v>30</v>
      </c>
      <c r="I31" s="1">
        <f>SUM(OSRRefD21_6x_5)</f>
        <v>30</v>
      </c>
      <c r="J31" s="1">
        <f>SUM(OSRRefE21_6x_0)</f>
        <v>0</v>
      </c>
      <c r="K31" s="1">
        <f>SUM(OSRRefE21_6x_1)</f>
        <v>0</v>
      </c>
      <c r="L31" s="1">
        <f>SUM(OSRRefE21_6x_2)</f>
        <v>0</v>
      </c>
      <c r="M31" s="1">
        <f>SUM(OSRRefE21_6x_3)</f>
        <v>0</v>
      </c>
      <c r="N31" s="1">
        <f>SUM(OSRRefE21_6x_4)</f>
        <v>0</v>
      </c>
      <c r="O31" s="1">
        <f>SUM(OSRRefE21_6x_5)</f>
        <v>0</v>
      </c>
      <c r="Q31" s="2">
        <f>SUM(OSRRefD20_6x)+IFERROR(SUM(OSRRefE20_6x),0)</f>
        <v>180</v>
      </c>
    </row>
    <row r="32" spans="1:17" s="35" customFormat="1" hidden="1" outlineLevel="1" x14ac:dyDescent="0.3">
      <c r="A32" s="34"/>
      <c r="B32" s="10" t="str">
        <f>CONCATENATE("          ","6309", " - ","TELEPHONE")</f>
        <v xml:space="preserve">          6309 - TELEPHONE</v>
      </c>
      <c r="C32" s="14"/>
      <c r="D32" s="2">
        <v>30</v>
      </c>
      <c r="E32" s="2">
        <v>30</v>
      </c>
      <c r="F32" s="2">
        <v>30</v>
      </c>
      <c r="G32" s="2">
        <v>30</v>
      </c>
      <c r="H32" s="2">
        <v>30</v>
      </c>
      <c r="I32" s="2">
        <v>30</v>
      </c>
      <c r="J32" s="2"/>
      <c r="K32" s="2"/>
      <c r="L32" s="2"/>
      <c r="M32" s="2"/>
      <c r="N32" s="2"/>
      <c r="O32" s="2"/>
      <c r="P32" s="9"/>
      <c r="Q32" s="2">
        <f>SUM(OSRRefD21_6_0x)+IFERROR(SUM(OSRRefE21_6_0x),0)</f>
        <v>180</v>
      </c>
    </row>
    <row r="33" spans="1:17" s="29" customFormat="1" x14ac:dyDescent="0.3">
      <c r="A33" s="21"/>
      <c r="B33" s="21"/>
      <c r="C33" s="2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1"/>
    </row>
    <row r="34" spans="1:17" s="9" customFormat="1" x14ac:dyDescent="0.3">
      <c r="A34" s="23"/>
      <c r="B34" s="16" t="s">
        <v>293</v>
      </c>
      <c r="C34" s="22"/>
      <c r="D34" s="3">
        <f t="shared" ref="D34:I34" si="4">0</f>
        <v>0</v>
      </c>
      <c r="E34" s="3">
        <f t="shared" si="4"/>
        <v>0</v>
      </c>
      <c r="F34" s="3">
        <f t="shared" si="4"/>
        <v>0</v>
      </c>
      <c r="G34" s="3">
        <f t="shared" si="4"/>
        <v>0</v>
      </c>
      <c r="H34" s="3">
        <f t="shared" si="4"/>
        <v>0</v>
      </c>
      <c r="I34" s="3">
        <f t="shared" si="4"/>
        <v>0</v>
      </c>
      <c r="J34" s="3"/>
      <c r="K34" s="3"/>
      <c r="L34" s="3"/>
      <c r="M34" s="3"/>
      <c r="N34" s="3"/>
      <c r="O34" s="3"/>
      <c r="Q34" s="2">
        <f>SUM(OSRRefD23_0x)+IFERROR(SUM(OSRRefE23_0x),0)</f>
        <v>0</v>
      </c>
    </row>
    <row r="35" spans="1:17" x14ac:dyDescent="0.3">
      <c r="A35" s="5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3">
      <c r="A36" s="6"/>
      <c r="B36" s="17" t="s">
        <v>276</v>
      </c>
      <c r="C36" s="17"/>
      <c r="D36" s="7">
        <f t="shared" ref="D36:O36" si="5">IFERROR(+D14-D17+D34, 0)</f>
        <v>-770.79000000000008</v>
      </c>
      <c r="E36" s="7">
        <f t="shared" si="5"/>
        <v>-893.71</v>
      </c>
      <c r="F36" s="7">
        <f t="shared" si="5"/>
        <v>-818.69</v>
      </c>
      <c r="G36" s="7">
        <f t="shared" si="5"/>
        <v>-770.79000000000008</v>
      </c>
      <c r="H36" s="7">
        <f t="shared" si="5"/>
        <v>-1205.79</v>
      </c>
      <c r="I36" s="7">
        <f t="shared" si="5"/>
        <v>-852.91000000000008</v>
      </c>
      <c r="J36" s="7">
        <f t="shared" si="5"/>
        <v>-588</v>
      </c>
      <c r="K36" s="7">
        <f t="shared" si="5"/>
        <v>-588</v>
      </c>
      <c r="L36" s="7">
        <f t="shared" si="5"/>
        <v>-588</v>
      </c>
      <c r="M36" s="7">
        <f t="shared" si="5"/>
        <v>-588</v>
      </c>
      <c r="N36" s="7">
        <f t="shared" si="5"/>
        <v>-588</v>
      </c>
      <c r="O36" s="7">
        <f t="shared" si="5"/>
        <v>-588</v>
      </c>
      <c r="Q36" s="7">
        <f>IFERROR(+Q14-Q17+Q34, 0)</f>
        <v>-8840.68</v>
      </c>
    </row>
    <row r="37" spans="1:17" s="6" customFormat="1" x14ac:dyDescent="0.3">
      <c r="B37" s="16"/>
      <c r="C37" s="16"/>
      <c r="D37" s="4">
        <f t="shared" ref="D37:O37" si="6">IFERROR(D36/D10, 0)</f>
        <v>0</v>
      </c>
      <c r="E37" s="4">
        <f t="shared" si="6"/>
        <v>0</v>
      </c>
      <c r="F37" s="4">
        <f t="shared" si="6"/>
        <v>0</v>
      </c>
      <c r="G37" s="4">
        <f t="shared" si="6"/>
        <v>0</v>
      </c>
      <c r="H37" s="4">
        <f t="shared" si="6"/>
        <v>0</v>
      </c>
      <c r="I37" s="4">
        <f t="shared" si="6"/>
        <v>0</v>
      </c>
      <c r="J37" s="4">
        <f t="shared" si="6"/>
        <v>0</v>
      </c>
      <c r="K37" s="4">
        <f t="shared" si="6"/>
        <v>0</v>
      </c>
      <c r="L37" s="4">
        <f t="shared" si="6"/>
        <v>0</v>
      </c>
      <c r="M37" s="4">
        <f t="shared" si="6"/>
        <v>0</v>
      </c>
      <c r="N37" s="4">
        <f t="shared" si="6"/>
        <v>0</v>
      </c>
      <c r="O37" s="4">
        <f t="shared" si="6"/>
        <v>0</v>
      </c>
      <c r="P37" s="18"/>
      <c r="Q37" s="4">
        <f>IFERROR(Q36/Q10, 0)</f>
        <v>0</v>
      </c>
    </row>
    <row r="38" spans="1:17" x14ac:dyDescent="0.3">
      <c r="A38" s="5"/>
      <c r="B38" s="6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x14ac:dyDescent="0.3">
      <c r="A39" s="25"/>
      <c r="B39" s="6" t="s">
        <v>125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2">
        <f>SUM(OSRRefD28_0x)+IFERROR(SUM(OSRRefE28_0x),0)</f>
        <v>0</v>
      </c>
    </row>
    <row r="40" spans="1:17" x14ac:dyDescent="0.3">
      <c r="A40" s="5"/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5" customFormat="1" ht="15" thickBot="1" x14ac:dyDescent="0.35">
      <c r="A41" s="6"/>
      <c r="B41" s="17" t="s">
        <v>124</v>
      </c>
      <c r="C41" s="17"/>
      <c r="D41" s="8">
        <f t="shared" ref="D41:O41" si="7">IFERROR(+D36-D39, 0)</f>
        <v>-770.79000000000008</v>
      </c>
      <c r="E41" s="8">
        <f t="shared" si="7"/>
        <v>-893.71</v>
      </c>
      <c r="F41" s="8">
        <f t="shared" si="7"/>
        <v>-818.69</v>
      </c>
      <c r="G41" s="8">
        <f t="shared" si="7"/>
        <v>-770.79000000000008</v>
      </c>
      <c r="H41" s="8">
        <f t="shared" si="7"/>
        <v>-1205.79</v>
      </c>
      <c r="I41" s="8">
        <f t="shared" si="7"/>
        <v>-852.91000000000008</v>
      </c>
      <c r="J41" s="8">
        <f t="shared" si="7"/>
        <v>-588</v>
      </c>
      <c r="K41" s="8">
        <f t="shared" si="7"/>
        <v>-588</v>
      </c>
      <c r="L41" s="8">
        <f t="shared" si="7"/>
        <v>-588</v>
      </c>
      <c r="M41" s="8">
        <f t="shared" si="7"/>
        <v>-588</v>
      </c>
      <c r="N41" s="8">
        <f t="shared" si="7"/>
        <v>-588</v>
      </c>
      <c r="O41" s="8">
        <f t="shared" si="7"/>
        <v>-588</v>
      </c>
      <c r="Q41" s="8">
        <f>IFERROR(+Q36-Q39, 0)</f>
        <v>-8840.68</v>
      </c>
    </row>
    <row r="42" spans="1:17" ht="15" thickTop="1" x14ac:dyDescent="0.3">
      <c r="A42" s="5"/>
      <c r="B42" s="5"/>
      <c r="C42" s="5"/>
      <c r="D42" s="4">
        <f t="shared" ref="D42:O42" si="8">IFERROR(D41/D10, 0)</f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8"/>
        <v>0</v>
      </c>
      <c r="P42" s="18"/>
      <c r="Q42" s="4">
        <f>IFERROR(Q41/Q10, 0)</f>
        <v>0</v>
      </c>
    </row>
    <row r="43" spans="1:17" x14ac:dyDescent="0.3">
      <c r="A43" s="5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x14ac:dyDescent="0.3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3"/>
    </row>
    <row r="45" spans="1:17" s="15" customFormat="1" ht="15" thickBot="1" x14ac:dyDescent="0.35">
      <c r="A45" s="6"/>
      <c r="B45" s="17" t="s">
        <v>294</v>
      </c>
      <c r="C45" s="17"/>
      <c r="D45" s="8">
        <f t="shared" ref="D45:O45" si="9">IFERROR(SUM(D41:D44), 0)</f>
        <v>-770.79000000000008</v>
      </c>
      <c r="E45" s="8">
        <f t="shared" si="9"/>
        <v>-893.71</v>
      </c>
      <c r="F45" s="8">
        <f t="shared" si="9"/>
        <v>-818.69</v>
      </c>
      <c r="G45" s="8">
        <f t="shared" si="9"/>
        <v>-770.79000000000008</v>
      </c>
      <c r="H45" s="8">
        <f t="shared" si="9"/>
        <v>-1205.79</v>
      </c>
      <c r="I45" s="8">
        <f t="shared" si="9"/>
        <v>-852.91000000000008</v>
      </c>
      <c r="J45" s="8">
        <f t="shared" si="9"/>
        <v>-588</v>
      </c>
      <c r="K45" s="8">
        <f t="shared" si="9"/>
        <v>-588</v>
      </c>
      <c r="L45" s="8">
        <f t="shared" si="9"/>
        <v>-588</v>
      </c>
      <c r="M45" s="8">
        <f t="shared" si="9"/>
        <v>-588</v>
      </c>
      <c r="N45" s="8">
        <f t="shared" si="9"/>
        <v>-588</v>
      </c>
      <c r="O45" s="8">
        <f t="shared" si="9"/>
        <v>-588</v>
      </c>
      <c r="Q45" s="8">
        <f>IFERROR(SUM(Q41:Q44), 0)</f>
        <v>-8840.68</v>
      </c>
    </row>
    <row r="46" spans="1:17" ht="15" thickTop="1" x14ac:dyDescent="0.3">
      <c r="A46" s="5"/>
      <c r="C46" s="5"/>
      <c r="D46" s="4">
        <f t="shared" ref="D46:O46" si="10">IFERROR(D45/D10, 0)</f>
        <v>0</v>
      </c>
      <c r="E46" s="4">
        <f t="shared" si="10"/>
        <v>0</v>
      </c>
      <c r="F46" s="4">
        <f t="shared" si="10"/>
        <v>0</v>
      </c>
      <c r="G46" s="4">
        <f t="shared" si="10"/>
        <v>0</v>
      </c>
      <c r="H46" s="4">
        <f t="shared" si="10"/>
        <v>0</v>
      </c>
      <c r="I46" s="4">
        <f t="shared" si="10"/>
        <v>0</v>
      </c>
      <c r="J46" s="4">
        <f t="shared" si="10"/>
        <v>0</v>
      </c>
      <c r="K46" s="4">
        <f t="shared" si="10"/>
        <v>0</v>
      </c>
      <c r="L46" s="4">
        <f t="shared" si="10"/>
        <v>0</v>
      </c>
      <c r="M46" s="4">
        <f t="shared" si="10"/>
        <v>0</v>
      </c>
      <c r="N46" s="4">
        <f t="shared" si="10"/>
        <v>0</v>
      </c>
      <c r="O46" s="4">
        <f t="shared" si="10"/>
        <v>0</v>
      </c>
      <c r="P46" s="18"/>
      <c r="Q46" s="4">
        <f>IFERROR(Q45/Q10, 0)</f>
        <v>0</v>
      </c>
    </row>
    <row r="47" spans="1:17" x14ac:dyDescent="0.3">
      <c r="A47" s="5"/>
      <c r="B47" s="28">
        <v>44575.850692245367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Q47" s="13"/>
    </row>
    <row r="48" spans="1:17" x14ac:dyDescent="0.3">
      <c r="A48" s="5"/>
      <c r="B48" s="26" t="s">
        <v>54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Q48" s="13"/>
    </row>
    <row r="49" spans="1:17" x14ac:dyDescent="0.3">
      <c r="A49" s="5"/>
      <c r="B49" s="3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Q49" s="13"/>
    </row>
    <row r="50" spans="1:17" x14ac:dyDescent="0.3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Q5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","313", " - ", "Convenience Store")</f>
        <v>Department 313 - Convenience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-47.7</v>
      </c>
      <c r="E17" s="12">
        <f>SUM(OSRRefD20x_1)</f>
        <v>47.7</v>
      </c>
      <c r="F17" s="12">
        <f>SUM(OSRRefD20x_2)</f>
        <v>0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SUM(OSRRefE20x_0)</f>
        <v>0</v>
      </c>
      <c r="K17" s="12">
        <f>SUM(OSRRefE20x_1)</f>
        <v>0</v>
      </c>
      <c r="L17" s="12">
        <f>SUM(OSRRefE20x_2)</f>
        <v>0</v>
      </c>
      <c r="M17" s="12">
        <f>SUM(OSRRefE20x_3)</f>
        <v>0</v>
      </c>
      <c r="N17" s="12">
        <f>SUM(OSRRefE20x_4)</f>
        <v>0</v>
      </c>
      <c r="O17" s="12">
        <f>SUM(OSRRefE20x_5)</f>
        <v>0</v>
      </c>
      <c r="Q17" s="12">
        <f>SUM(OSRRefG20x)</f>
        <v>0</v>
      </c>
    </row>
    <row r="18" spans="1:17" s="35" customFormat="1" collapsed="1" x14ac:dyDescent="0.3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0</v>
      </c>
    </row>
    <row r="19" spans="1:17" s="35" customFormat="1" hidden="1" outlineLevel="1" x14ac:dyDescent="0.3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5" customFormat="1" collapsed="1" x14ac:dyDescent="0.3">
      <c r="A20" s="34"/>
      <c r="B20" s="14" t="str">
        <f>CONCATENATE("     ","Supplies                                          ")</f>
        <v xml:space="preserve">     Supplies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0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0</v>
      </c>
    </row>
    <row r="21" spans="1:17" s="35" customFormat="1" hidden="1" outlineLevel="1" x14ac:dyDescent="0.3">
      <c r="A21" s="34"/>
      <c r="B21" s="10" t="str">
        <f>CONCATENATE("          ","6247", " - ","STORE SUPPLIES")</f>
        <v xml:space="preserve">          6247 - STORE SUPPLIES</v>
      </c>
      <c r="C21" s="14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0</v>
      </c>
    </row>
    <row r="22" spans="1:17" s="35" customFormat="1" collapsed="1" x14ac:dyDescent="0.3">
      <c r="A22" s="34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-47.7</v>
      </c>
      <c r="E22" s="1">
        <f>SUM(OSRRefD21_2x_1)</f>
        <v>47.7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SUM(OSRRefE21_2x_0)</f>
        <v>0</v>
      </c>
      <c r="K22" s="1">
        <f>SUM(OSRRefE21_2x_1)</f>
        <v>0</v>
      </c>
      <c r="L22" s="1">
        <f>SUM(OSRRefE21_2x_2)</f>
        <v>0</v>
      </c>
      <c r="M22" s="1">
        <f>SUM(OSRRefE21_2x_3)</f>
        <v>0</v>
      </c>
      <c r="N22" s="1">
        <f>SUM(OSRRefE21_2x_4)</f>
        <v>0</v>
      </c>
      <c r="O22" s="1">
        <f>SUM(OSRRefE21_2x_5)</f>
        <v>0</v>
      </c>
      <c r="Q22" s="2">
        <f>SUM(OSRRefD20_2x)+IFERROR(SUM(OSRRefE20_2x),0)</f>
        <v>0</v>
      </c>
    </row>
    <row r="23" spans="1:17" s="35" customFormat="1" hidden="1" outlineLevel="1" x14ac:dyDescent="0.3">
      <c r="A23" s="34"/>
      <c r="B23" s="10" t="str">
        <f>CONCATENATE("          ","6309", " - ","TELEPHONE")</f>
        <v xml:space="preserve">          6309 - TELEPHONE</v>
      </c>
      <c r="C23" s="14"/>
      <c r="D23" s="2">
        <v>-47.7</v>
      </c>
      <c r="E23" s="2">
        <v>47.7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0</v>
      </c>
    </row>
    <row r="24" spans="1:17" s="29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3"/>
      <c r="B25" s="16" t="s">
        <v>293</v>
      </c>
      <c r="C25" s="22"/>
      <c r="D25" s="3">
        <f t="shared" ref="D25:I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7">
        <f t="shared" ref="D27:O27" si="5">IFERROR(+D14-D17+D25, 0)</f>
        <v>47.7</v>
      </c>
      <c r="E27" s="7">
        <f t="shared" si="5"/>
        <v>-47.7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 t="shared" si="5"/>
        <v>0</v>
      </c>
      <c r="O27" s="7">
        <f t="shared" si="5"/>
        <v>0</v>
      </c>
      <c r="Q27" s="7">
        <f>IFERROR(+Q14-Q17+Q25, 0)</f>
        <v>0</v>
      </c>
    </row>
    <row r="28" spans="1:17" s="6" customFormat="1" x14ac:dyDescent="0.3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8">
        <f t="shared" ref="D32:O32" si="7">IFERROR(+D27-D30, 0)</f>
        <v>47.7</v>
      </c>
      <c r="E32" s="8">
        <f t="shared" si="7"/>
        <v>-47.7</v>
      </c>
      <c r="F32" s="8">
        <f t="shared" si="7"/>
        <v>0</v>
      </c>
      <c r="G32" s="8">
        <f t="shared" si="7"/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si="7"/>
        <v>0</v>
      </c>
      <c r="O32" s="8">
        <f t="shared" si="7"/>
        <v>0</v>
      </c>
      <c r="Q32" s="8">
        <f>IFERROR(+Q27-Q30, 0)</f>
        <v>0</v>
      </c>
    </row>
    <row r="33" spans="1:17" ht="15" thickTop="1" x14ac:dyDescent="0.3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8">
        <f t="shared" ref="D36:O36" si="9">IFERROR(SUM(D32:D35), 0)</f>
        <v>47.7</v>
      </c>
      <c r="E36" s="8">
        <f t="shared" si="9"/>
        <v>-47.7</v>
      </c>
      <c r="F36" s="8">
        <f t="shared" si="9"/>
        <v>0</v>
      </c>
      <c r="G36" s="8">
        <f t="shared" si="9"/>
        <v>0</v>
      </c>
      <c r="H36" s="8">
        <f t="shared" si="9"/>
        <v>0</v>
      </c>
      <c r="I36" s="8">
        <f t="shared" si="9"/>
        <v>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Q36" s="8">
        <f>IFERROR(SUM(Q32:Q35), 0)</f>
        <v>0</v>
      </c>
    </row>
    <row r="37" spans="1:17" ht="15" thickTop="1" x14ac:dyDescent="0.3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3">
      <c r="A38" s="5"/>
      <c r="B38" s="28">
        <v>44575.850692245367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A39" s="5"/>
      <c r="B39" s="26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3">
      <c r="A40" s="5"/>
      <c r="B40" s="3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3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","321", " - ", "Corner Market")</f>
        <v>Department 321 - Corner Market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10539</v>
      </c>
      <c r="K10" s="3">
        <f>SUM(OSRRefE11x_1)</f>
        <v>29378</v>
      </c>
      <c r="L10" s="3">
        <f>SUM(OSRRefE11x_2)</f>
        <v>27729</v>
      </c>
      <c r="M10" s="3">
        <f>SUM(OSRRefE11x_3)</f>
        <v>24819</v>
      </c>
      <c r="N10" s="3">
        <f>SUM(OSRRefE11x_4)</f>
        <v>13768</v>
      </c>
      <c r="O10" s="3">
        <f>SUM(OSRRefE11x_5)</f>
        <v>3734</v>
      </c>
      <c r="P10" s="24"/>
      <c r="Q10" s="3">
        <f>SUM(OSRRefG11x)</f>
        <v>109967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I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2447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25535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8092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84432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8639</v>
      </c>
      <c r="I14" s="3">
        <f>SUM(OSRRefD14x_5)</f>
        <v>0</v>
      </c>
      <c r="J14" s="3">
        <f>SUM(OSRRefE14x_0)</f>
        <v>5164</v>
      </c>
      <c r="K14" s="3">
        <f>SUM(OSRRefE14x_1)</f>
        <v>14395</v>
      </c>
      <c r="L14" s="3">
        <f>SUM(OSRRefE14x_2)</f>
        <v>13587</v>
      </c>
      <c r="M14" s="3">
        <f>SUM(OSRRefE14x_3)</f>
        <v>12161</v>
      </c>
      <c r="N14" s="3">
        <f>SUM(OSRRefE14x_4)</f>
        <v>6746</v>
      </c>
      <c r="O14" s="3">
        <f>SUM(OSRRefE14x_5)</f>
        <v>1830</v>
      </c>
      <c r="Q14" s="3">
        <f>SUM(OSRRefG14x)</f>
        <v>62522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5164</v>
      </c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53883</v>
      </c>
    </row>
    <row r="16" spans="1:18" s="9" customFormat="1" hidden="1" outlineLevel="1" x14ac:dyDescent="0.3">
      <c r="A16" s="23"/>
      <c r="B16" s="10" t="str">
        <f>CONCATENATE("          ","5059", " - ","PURCHASES @ COST-FOOD")</f>
        <v xml:space="preserve">          5059 - PURCHASES @ COST-FOOD</v>
      </c>
      <c r="C16" s="22"/>
      <c r="D16" s="2"/>
      <c r="E16" s="2"/>
      <c r="F16" s="2"/>
      <c r="G16" s="2"/>
      <c r="H16" s="2">
        <v>8639</v>
      </c>
      <c r="I16" s="2"/>
      <c r="J16" s="2"/>
      <c r="K16" s="2"/>
      <c r="L16" s="2"/>
      <c r="M16" s="2"/>
      <c r="N16" s="2"/>
      <c r="O16" s="2"/>
      <c r="Q16" s="2">
        <f>SUM(OSRRefD14_1x)+IFERROR(SUM(OSRRefE14_1x),0)</f>
        <v>8639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-8639</v>
      </c>
      <c r="I18" s="7">
        <f t="shared" si="1"/>
        <v>0</v>
      </c>
      <c r="J18" s="7">
        <f t="shared" si="1"/>
        <v>5375</v>
      </c>
      <c r="K18" s="7">
        <f t="shared" si="1"/>
        <v>14983</v>
      </c>
      <c r="L18" s="7">
        <f t="shared" si="1"/>
        <v>14142</v>
      </c>
      <c r="M18" s="7">
        <f t="shared" si="1"/>
        <v>12658</v>
      </c>
      <c r="N18" s="7">
        <f t="shared" si="1"/>
        <v>7022</v>
      </c>
      <c r="O18" s="7">
        <f t="shared" si="1"/>
        <v>1904</v>
      </c>
      <c r="Q18" s="7">
        <f>IFERROR(+Q10-Q14, 0)</f>
        <v>47445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0.51001043742290542</v>
      </c>
      <c r="K19" s="4">
        <f t="shared" si="2"/>
        <v>0.51000748859690925</v>
      </c>
      <c r="L19" s="4">
        <f t="shared" si="2"/>
        <v>0.51000757329871249</v>
      </c>
      <c r="M19" s="4">
        <f t="shared" si="2"/>
        <v>0.51001249043071839</v>
      </c>
      <c r="N19" s="4">
        <f t="shared" si="2"/>
        <v>0.51002324230098783</v>
      </c>
      <c r="O19" s="4">
        <f t="shared" si="2"/>
        <v>0.50990894483128013</v>
      </c>
      <c r="P19" s="18"/>
      <c r="Q19" s="4">
        <f>IFERROR(Q18/Q10, 0)</f>
        <v>0.43144761610301274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2">
        <f>SUM(OSRRefD20x_0)</f>
        <v>1184.5100000000002</v>
      </c>
      <c r="E21" s="12">
        <f>SUM(OSRRefD20x_1)</f>
        <v>2313.6099999999997</v>
      </c>
      <c r="F21" s="12">
        <f>SUM(OSRRefD20x_2)</f>
        <v>1274.7300000000002</v>
      </c>
      <c r="G21" s="12">
        <f>SUM(OSRRefD20x_3)</f>
        <v>1610.94</v>
      </c>
      <c r="H21" s="12">
        <f>SUM(OSRRefD20x_4)</f>
        <v>1101.8700000000001</v>
      </c>
      <c r="I21" s="12">
        <f>SUM(OSRRefD20x_5)</f>
        <v>5106.0700000000006</v>
      </c>
      <c r="J21" s="12">
        <f>SUM(OSRRefE20x_0)</f>
        <v>7444.6191252500003</v>
      </c>
      <c r="K21" s="12">
        <f>SUM(OSRRefE20x_1)</f>
        <v>11120.174618999999</v>
      </c>
      <c r="L21" s="12">
        <f>SUM(OSRRefE20x_2)</f>
        <v>8891.6191252499993</v>
      </c>
      <c r="M21" s="12">
        <f>SUM(OSRRefE20x_3)</f>
        <v>11577.78563475</v>
      </c>
      <c r="N21" s="12">
        <f>SUM(OSRRefE20x_4)</f>
        <v>4809.0832547499995</v>
      </c>
      <c r="O21" s="12">
        <f>SUM(OSRRefE20x_5)</f>
        <v>4053.9526240000005</v>
      </c>
      <c r="Q21" s="12">
        <f>SUM(OSRRefG20x)</f>
        <v>60488.964383000006</v>
      </c>
    </row>
    <row r="22" spans="1:17" s="35" customFormat="1" collapsed="1" x14ac:dyDescent="0.3">
      <c r="A22" s="34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0</v>
      </c>
      <c r="E22" s="1">
        <f>SUM(OSRRefD21_0x_1)</f>
        <v>84.99</v>
      </c>
      <c r="F22" s="1">
        <f>SUM(OSRRefD21_0x_2)</f>
        <v>0</v>
      </c>
      <c r="G22" s="1">
        <f>SUM(OSRRefD21_0x_3)</f>
        <v>0</v>
      </c>
      <c r="H22" s="1">
        <f>SUM(OSRRefD21_0x_4)</f>
        <v>233.15000000000003</v>
      </c>
      <c r="I22" s="1">
        <f>SUM(OSRRefD21_0x_5)</f>
        <v>868.76</v>
      </c>
      <c r="J22" s="1">
        <f>SUM(OSRRefE21_0x_0)</f>
        <v>375.91087525</v>
      </c>
      <c r="K22" s="1">
        <f>SUM(OSRRefE21_0x_1)</f>
        <v>537.50561900000002</v>
      </c>
      <c r="L22" s="1">
        <f>SUM(OSRRefE21_0x_2)</f>
        <v>375.91087525</v>
      </c>
      <c r="M22" s="1">
        <f>SUM(OSRRefE21_0x_3)</f>
        <v>645.71228474999998</v>
      </c>
      <c r="N22" s="1">
        <f>SUM(OSRRefE21_0x_4)</f>
        <v>134.90070474999999</v>
      </c>
      <c r="O22" s="1">
        <f>SUM(OSRRefE21_0x_5)</f>
        <v>326.43902400000002</v>
      </c>
      <c r="Q22" s="2">
        <f>SUM(OSRRefD20_0x)+IFERROR(SUM(OSRRefE20_0x),0)</f>
        <v>3583.2793830000005</v>
      </c>
    </row>
    <row r="23" spans="1:17" s="35" customFormat="1" hidden="1" outlineLevel="1" x14ac:dyDescent="0.3">
      <c r="A23" s="34"/>
      <c r="B23" s="10" t="str">
        <f>CONCATENATE("          ","6111", " - ","F.I.C.A.")</f>
        <v xml:space="preserve">          6111 - F.I.C.A.</v>
      </c>
      <c r="C23" s="14"/>
      <c r="D23" s="2"/>
      <c r="E23" s="2">
        <v>6.91</v>
      </c>
      <c r="F23" s="2"/>
      <c r="G23" s="2"/>
      <c r="H23" s="2">
        <v>35.72</v>
      </c>
      <c r="I23" s="2">
        <v>235.51</v>
      </c>
      <c r="J23" s="2">
        <v>108.70512524999999</v>
      </c>
      <c r="K23" s="2">
        <v>154.76661899999999</v>
      </c>
      <c r="L23" s="2">
        <v>108.70512524999999</v>
      </c>
      <c r="M23" s="2">
        <v>186.08843475</v>
      </c>
      <c r="N23" s="2">
        <v>38.691654749999998</v>
      </c>
      <c r="O23" s="2">
        <v>117.917424</v>
      </c>
      <c r="P23" s="9"/>
      <c r="Q23" s="2">
        <f>SUM(OSRRefD21_0_0x)+IFERROR(SUM(OSRRefE21_0_0x),0)</f>
        <v>993.01438299999995</v>
      </c>
    </row>
    <row r="24" spans="1:17" s="35" customFormat="1" hidden="1" outlineLevel="1" x14ac:dyDescent="0.3">
      <c r="A24" s="34"/>
      <c r="B24" s="10" t="str">
        <f>CONCATENATE("          ","6112", " - ","COMPENSATION INSURANCE")</f>
        <v xml:space="preserve">          6112 - COMPENSATION INSURANCE</v>
      </c>
      <c r="C24" s="14"/>
      <c r="D24" s="2"/>
      <c r="E24" s="2"/>
      <c r="F24" s="2"/>
      <c r="G24" s="2"/>
      <c r="H24" s="2">
        <v>16.809999999999999</v>
      </c>
      <c r="I24" s="2">
        <v>45.46</v>
      </c>
      <c r="J24" s="2">
        <v>144.67282750000001</v>
      </c>
      <c r="K24" s="2">
        <v>207.22583</v>
      </c>
      <c r="L24" s="2">
        <v>144.67282750000001</v>
      </c>
      <c r="M24" s="2">
        <v>248.85348450000001</v>
      </c>
      <c r="N24" s="2">
        <v>52.090328499999998</v>
      </c>
      <c r="O24" s="2">
        <v>112.899552</v>
      </c>
      <c r="P24" s="9"/>
      <c r="Q24" s="2">
        <f>SUM(OSRRefD21_0_1x)+IFERROR(SUM(OSRRefE21_0_1x),0)</f>
        <v>972.68484999999998</v>
      </c>
    </row>
    <row r="25" spans="1:17" s="35" customFormat="1" hidden="1" outlineLevel="1" x14ac:dyDescent="0.3">
      <c r="A25" s="34"/>
      <c r="B25" s="10" t="str">
        <f>CONCATENATE("          ","6113", " - ","GROUP INSURANCE")</f>
        <v xml:space="preserve">          6113 - GROUP INSURANCE</v>
      </c>
      <c r="C25" s="14"/>
      <c r="D25" s="2"/>
      <c r="E25" s="2"/>
      <c r="F25" s="2"/>
      <c r="G25" s="2"/>
      <c r="H25" s="2"/>
      <c r="I25" s="2">
        <v>33.81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33.81</v>
      </c>
    </row>
    <row r="26" spans="1:17" s="35" customFormat="1" hidden="1" outlineLevel="1" x14ac:dyDescent="0.3">
      <c r="A26" s="34"/>
      <c r="B26" s="10" t="str">
        <f>CONCATENATE("          ","6114", " - ","STATE UNEMPLOYMENT INSURANCE")</f>
        <v xml:space="preserve">          6114 - STATE UNEMPLOYMENT INSURANCE</v>
      </c>
      <c r="C26" s="14"/>
      <c r="D26" s="2"/>
      <c r="E26" s="2"/>
      <c r="F26" s="2"/>
      <c r="G26" s="2"/>
      <c r="H26" s="2">
        <v>1.21</v>
      </c>
      <c r="I26" s="2">
        <v>7.99</v>
      </c>
      <c r="J26" s="2">
        <v>8.0161724999999997</v>
      </c>
      <c r="K26" s="2">
        <v>11.48217</v>
      </c>
      <c r="L26" s="2">
        <v>8.0161724999999997</v>
      </c>
      <c r="M26" s="2">
        <v>13.7887155</v>
      </c>
      <c r="N26" s="2">
        <v>2.8862714999999999</v>
      </c>
      <c r="O26" s="2">
        <v>6.2556479999999999</v>
      </c>
      <c r="P26" s="9"/>
      <c r="Q26" s="2">
        <f>SUM(OSRRefD21_0_3x)+IFERROR(SUM(OSRRefE21_0_3x),0)</f>
        <v>59.645150000000001</v>
      </c>
    </row>
    <row r="27" spans="1:17" s="35" customFormat="1" hidden="1" outlineLevel="1" x14ac:dyDescent="0.3">
      <c r="A27" s="34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5" customFormat="1" hidden="1" outlineLevel="1" x14ac:dyDescent="0.3">
      <c r="A28" s="34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">
      <c r="A29" s="34"/>
      <c r="B29" s="10" t="str">
        <f>CONCATENATE("          ","6118", " - ","VACATION")</f>
        <v xml:space="preserve">          6118 - VACATION</v>
      </c>
      <c r="C29" s="14"/>
      <c r="D29" s="2"/>
      <c r="E29" s="2"/>
      <c r="F29" s="2"/>
      <c r="G29" s="2"/>
      <c r="H29" s="2">
        <v>81.62</v>
      </c>
      <c r="I29" s="2">
        <v>163.24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244.86</v>
      </c>
    </row>
    <row r="30" spans="1:17" s="35" customFormat="1" hidden="1" outlineLevel="1" x14ac:dyDescent="0.3">
      <c r="A30" s="34"/>
      <c r="B30" s="10" t="str">
        <f>CONCATENATE("          ","6119", " - ","SICK LEAVE")</f>
        <v xml:space="preserve">          6119 - SICK LEAVE</v>
      </c>
      <c r="C30" s="14"/>
      <c r="D30" s="2"/>
      <c r="E30" s="2"/>
      <c r="F30" s="2"/>
      <c r="G30" s="2"/>
      <c r="H30" s="2">
        <v>97.79</v>
      </c>
      <c r="I30" s="2">
        <v>195.58</v>
      </c>
      <c r="J30" s="2">
        <v>114.51675</v>
      </c>
      <c r="K30" s="2">
        <v>164.03100000000001</v>
      </c>
      <c r="L30" s="2">
        <v>114.51675</v>
      </c>
      <c r="M30" s="2">
        <v>196.98165</v>
      </c>
      <c r="N30" s="2">
        <v>41.23245</v>
      </c>
      <c r="O30" s="2">
        <v>89.366399999999999</v>
      </c>
      <c r="P30" s="9"/>
      <c r="Q30" s="2">
        <f>SUM(OSRRefD21_0_7x)+IFERROR(SUM(OSRRefE21_0_7x),0)</f>
        <v>1014.015</v>
      </c>
    </row>
    <row r="31" spans="1:17" s="35" customFormat="1" hidden="1" outlineLevel="1" x14ac:dyDescent="0.3">
      <c r="A31" s="34"/>
      <c r="B31" s="10" t="str">
        <f>CONCATENATE("          ","6156", " - ","EMPLOYEE MEALS")</f>
        <v xml:space="preserve">          6156 - EMPLOYEE MEALS</v>
      </c>
      <c r="C31" s="14"/>
      <c r="D31" s="2"/>
      <c r="E31" s="2">
        <v>78.08</v>
      </c>
      <c r="F31" s="2"/>
      <c r="G31" s="2"/>
      <c r="H31" s="2"/>
      <c r="I31" s="2">
        <v>187.17</v>
      </c>
      <c r="J31" s="2"/>
      <c r="K31" s="2"/>
      <c r="L31" s="2"/>
      <c r="M31" s="2"/>
      <c r="N31" s="2"/>
      <c r="O31" s="2"/>
      <c r="P31" s="9"/>
      <c r="Q31" s="2">
        <f>SUM(OSRRefD21_0_8x)+IFERROR(SUM(OSRRefE21_0_8x),0)</f>
        <v>265.25</v>
      </c>
    </row>
    <row r="32" spans="1:17" s="35" customFormat="1" collapsed="1" x14ac:dyDescent="0.3">
      <c r="A32" s="34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0</v>
      </c>
      <c r="E32" s="1">
        <f>SUM(OSRRefD21_1x_1)</f>
        <v>90.3</v>
      </c>
      <c r="F32" s="1">
        <f>SUM(OSRRefD21_1x_2)</f>
        <v>0</v>
      </c>
      <c r="G32" s="1">
        <f>SUM(OSRRefD21_1x_3)</f>
        <v>0</v>
      </c>
      <c r="H32" s="1">
        <f>SUM(OSRRefD21_1x_4)</f>
        <v>466.93</v>
      </c>
      <c r="I32" s="1">
        <f>SUM(OSRRefD21_1x_5)</f>
        <v>3071.88</v>
      </c>
      <c r="J32" s="1">
        <f>SUM(OSRRefE21_1x_0)</f>
        <v>3702.7082500000001</v>
      </c>
      <c r="K32" s="1">
        <f>SUM(OSRRefE21_1x_1)</f>
        <v>5303.6689999999999</v>
      </c>
      <c r="L32" s="1">
        <f>SUM(OSRRefE21_1x_2)</f>
        <v>3702.7082500000001</v>
      </c>
      <c r="M32" s="1">
        <f>SUM(OSRRefE21_1x_3)</f>
        <v>6369.0733500000006</v>
      </c>
      <c r="N32" s="1">
        <f>SUM(OSRRefE21_1x_4)</f>
        <v>1333.18255</v>
      </c>
      <c r="O32" s="1">
        <f>SUM(OSRRefE21_1x_5)</f>
        <v>2889.5136000000002</v>
      </c>
      <c r="Q32" s="2">
        <f>SUM(OSRRefD20_1x)+IFERROR(SUM(OSRRefE20_1x),0)</f>
        <v>26929.965000000004</v>
      </c>
    </row>
    <row r="33" spans="1:17" s="35" customFormat="1" hidden="1" outlineLevel="1" x14ac:dyDescent="0.3">
      <c r="A33" s="34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">
      <c r="A34" s="34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SUM(OSRRefD21_1_1x)+IFERROR(SUM(OSRRefE21_1_1x),0)</f>
        <v>0</v>
      </c>
    </row>
    <row r="35" spans="1:17" s="35" customFormat="1" hidden="1" outlineLevel="1" x14ac:dyDescent="0.3">
      <c r="A35" s="34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">
      <c r="A36" s="34"/>
      <c r="B36" s="10" t="str">
        <f>CONCATENATE("          ","6004", " - ","STAFF HOURLY")</f>
        <v xml:space="preserve">          6004 - STAFF HOURLY</v>
      </c>
      <c r="C36" s="14"/>
      <c r="D36" s="2"/>
      <c r="E36" s="2"/>
      <c r="F36" s="2"/>
      <c r="G36" s="2"/>
      <c r="H36" s="2">
        <v>466.93</v>
      </c>
      <c r="I36" s="2">
        <v>3071.88</v>
      </c>
      <c r="J36" s="2">
        <v>1377.8122499999999</v>
      </c>
      <c r="K36" s="2">
        <v>1961.6310000000001</v>
      </c>
      <c r="L36" s="2">
        <v>1377.8122499999999</v>
      </c>
      <c r="M36" s="2">
        <v>2358.6277500000001</v>
      </c>
      <c r="N36" s="2">
        <v>490.40775000000002</v>
      </c>
      <c r="O36" s="2">
        <v>1494.576</v>
      </c>
      <c r="P36" s="9"/>
      <c r="Q36" s="2">
        <f>SUM(OSRRefD21_1_3x)+IFERROR(SUM(OSRRefE21_1_3x),0)</f>
        <v>12599.677000000001</v>
      </c>
    </row>
    <row r="37" spans="1:17" s="35" customFormat="1" hidden="1" outlineLevel="1" x14ac:dyDescent="0.3">
      <c r="A37" s="34"/>
      <c r="B37" s="10" t="str">
        <f>CONCATENATE("          ","6005", " - ","TEMPORARY WAGES-HOURLY")</f>
        <v xml:space="preserve">          6005 - TEMPORARY WAGES-HOURLY</v>
      </c>
      <c r="C37" s="14"/>
      <c r="D37" s="2"/>
      <c r="E37" s="2">
        <v>90.3</v>
      </c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90.3</v>
      </c>
    </row>
    <row r="38" spans="1:17" s="35" customFormat="1" hidden="1" outlineLevel="1" x14ac:dyDescent="0.3">
      <c r="A38" s="34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">
      <c r="A39" s="34"/>
      <c r="B39" s="10" t="str">
        <f>CONCATENATE("          ","6007", " - ","STUDENT HOURLY")</f>
        <v xml:space="preserve">          6007 - STUDENT HOURLY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5" customFormat="1" hidden="1" outlineLevel="1" x14ac:dyDescent="0.3">
      <c r="A40" s="34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/>
      <c r="H40" s="2"/>
      <c r="I40" s="2"/>
      <c r="J40" s="2">
        <v>2324.8960000000002</v>
      </c>
      <c r="K40" s="2">
        <v>3342.038</v>
      </c>
      <c r="L40" s="2">
        <v>2324.8960000000002</v>
      </c>
      <c r="M40" s="2">
        <v>4010.4456</v>
      </c>
      <c r="N40" s="2">
        <v>842.77480000000003</v>
      </c>
      <c r="O40" s="2">
        <v>1394.9376</v>
      </c>
      <c r="P40" s="9"/>
      <c r="Q40" s="2">
        <f>SUM(OSRRefD21_1_7x)+IFERROR(SUM(OSRRefE21_1_7x),0)</f>
        <v>14239.987999999999</v>
      </c>
    </row>
    <row r="41" spans="1:17" s="35" customFormat="1" hidden="1" outlineLevel="1" x14ac:dyDescent="0.3">
      <c r="A41" s="34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">
      <c r="A42" s="34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">
      <c r="A43" s="34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SUM(OSRRefE21_2x_0)</f>
        <v>0</v>
      </c>
      <c r="K43" s="1">
        <f>SUM(OSRRefE21_2x_1)</f>
        <v>0</v>
      </c>
      <c r="L43" s="1">
        <f>SUM(OSRRefE21_2x_2)</f>
        <v>0</v>
      </c>
      <c r="M43" s="1">
        <f>SUM(OSRRefE21_2x_3)</f>
        <v>0</v>
      </c>
      <c r="N43" s="1">
        <f>SUM(OSRRefE21_2x_4)</f>
        <v>0</v>
      </c>
      <c r="O43" s="1">
        <f>SUM(OSRRefE21_2x_5)</f>
        <v>0</v>
      </c>
      <c r="Q43" s="2">
        <f>SUM(OSRRefD20_2x)+IFERROR(SUM(OSRRefE20_2x),0)</f>
        <v>0</v>
      </c>
    </row>
    <row r="44" spans="1:17" s="35" customFormat="1" hidden="1" outlineLevel="1" x14ac:dyDescent="0.3">
      <c r="A44" s="34"/>
      <c r="B44" s="10" t="str">
        <f>CONCATENATE("          ","6362", " - ","ADVERTISING EXPENSE")</f>
        <v xml:space="preserve">          6362 - ADVERTISING EXPENSE</v>
      </c>
      <c r="C44" s="14"/>
      <c r="D44" s="2"/>
      <c r="E44" s="2"/>
      <c r="F44" s="2"/>
      <c r="G44" s="2"/>
      <c r="H44" s="2"/>
      <c r="I44" s="2"/>
      <c r="J44" s="2">
        <v>0</v>
      </c>
      <c r="K44" s="2"/>
      <c r="L44" s="2">
        <v>0</v>
      </c>
      <c r="M44" s="2"/>
      <c r="N44" s="2"/>
      <c r="O44" s="2"/>
      <c r="P44" s="9"/>
      <c r="Q44" s="2">
        <f>SUM(OSRRefD21_2_0x)+IFERROR(SUM(OSRRefE21_2_0x),0)</f>
        <v>0</v>
      </c>
    </row>
    <row r="45" spans="1:17" s="35" customFormat="1" collapsed="1" x14ac:dyDescent="0.3">
      <c r="A45" s="34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75.12</v>
      </c>
      <c r="E45" s="1">
        <f>SUM(OSRRefD21_3x_1)</f>
        <v>100.34</v>
      </c>
      <c r="F45" s="1">
        <f>SUM(OSRRefD21_3x_2)</f>
        <v>99.95</v>
      </c>
      <c r="G45" s="1">
        <f>SUM(OSRRefD21_3x_3)</f>
        <v>99.95</v>
      </c>
      <c r="H45" s="1">
        <f>SUM(OSRRefD21_3x_4)</f>
        <v>25</v>
      </c>
      <c r="I45" s="1">
        <f>SUM(OSRRefD21_3x_5)</f>
        <v>25</v>
      </c>
      <c r="J45" s="1">
        <f>SUM(OSRRefE21_3x_0)</f>
        <v>359</v>
      </c>
      <c r="K45" s="1">
        <f>SUM(OSRRefE21_3x_1)</f>
        <v>1002</v>
      </c>
      <c r="L45" s="1">
        <f>SUM(OSRRefE21_3x_2)</f>
        <v>946</v>
      </c>
      <c r="M45" s="1">
        <f>SUM(OSRRefE21_3x_3)</f>
        <v>846</v>
      </c>
      <c r="N45" s="1">
        <f>SUM(OSRRefE21_3x_4)</f>
        <v>469</v>
      </c>
      <c r="O45" s="1">
        <f>SUM(OSRRefE21_3x_5)</f>
        <v>127</v>
      </c>
      <c r="Q45" s="2">
        <f>SUM(OSRRefD20_3x)+IFERROR(SUM(OSRRefE20_3x),0)</f>
        <v>4174.3599999999997</v>
      </c>
    </row>
    <row r="46" spans="1:17" s="35" customFormat="1" hidden="1" outlineLevel="1" x14ac:dyDescent="0.3">
      <c r="A46" s="34"/>
      <c r="B46" s="10" t="str">
        <f>CONCATENATE("          ","6381", " - ","BANK/CREDIT CARD FEES")</f>
        <v xml:space="preserve">          6381 - BANK/CREDIT CARD FEES</v>
      </c>
      <c r="C46" s="14"/>
      <c r="D46" s="2">
        <v>75.12</v>
      </c>
      <c r="E46" s="2">
        <v>100.34</v>
      </c>
      <c r="F46" s="2">
        <v>99.95</v>
      </c>
      <c r="G46" s="2">
        <v>99.95</v>
      </c>
      <c r="H46" s="2">
        <v>25</v>
      </c>
      <c r="I46" s="2">
        <v>25</v>
      </c>
      <c r="J46" s="2">
        <v>359</v>
      </c>
      <c r="K46" s="2">
        <v>1002</v>
      </c>
      <c r="L46" s="2">
        <v>946</v>
      </c>
      <c r="M46" s="2">
        <v>846</v>
      </c>
      <c r="N46" s="2">
        <v>469</v>
      </c>
      <c r="O46" s="2">
        <v>127</v>
      </c>
      <c r="P46" s="9"/>
      <c r="Q46" s="2">
        <f>SUM(OSRRefD21_3_0x)+IFERROR(SUM(OSRRefE21_3_0x),0)</f>
        <v>4174.3599999999997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1075.3900000000001</v>
      </c>
      <c r="E47" s="1">
        <f>SUM(OSRRefD21_4x_1)</f>
        <v>1075.3900000000001</v>
      </c>
      <c r="F47" s="1">
        <f>SUM(OSRRefD21_4x_2)</f>
        <v>1075.3800000000001</v>
      </c>
      <c r="G47" s="1">
        <f>SUM(OSRRefD21_4x_3)</f>
        <v>264.60000000000002</v>
      </c>
      <c r="H47" s="1">
        <f>SUM(OSRRefD21_4x_4)</f>
        <v>264.60000000000002</v>
      </c>
      <c r="I47" s="1">
        <f>SUM(OSRRefD21_4x_5)</f>
        <v>264.60000000000002</v>
      </c>
      <c r="J47" s="1">
        <f>SUM(OSRRefE21_4x_0)</f>
        <v>265</v>
      </c>
      <c r="K47" s="1">
        <f>SUM(OSRRefE21_4x_1)</f>
        <v>265</v>
      </c>
      <c r="L47" s="1">
        <f>SUM(OSRRefE21_4x_2)</f>
        <v>265</v>
      </c>
      <c r="M47" s="1">
        <f>SUM(OSRRefE21_4x_3)</f>
        <v>265</v>
      </c>
      <c r="N47" s="1">
        <f>SUM(OSRRefE21_4x_4)</f>
        <v>265</v>
      </c>
      <c r="O47" s="1">
        <f>SUM(OSRRefE21_4x_5)</f>
        <v>107</v>
      </c>
      <c r="Q47" s="2">
        <f>SUM(OSRRefD20_4x)+IFERROR(SUM(OSRRefE20_4x),0)</f>
        <v>5451.96</v>
      </c>
    </row>
    <row r="48" spans="1:17" s="35" customFormat="1" hidden="1" outlineLevel="1" x14ac:dyDescent="0.3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1075.3900000000001</v>
      </c>
      <c r="E48" s="2">
        <v>1075.3900000000001</v>
      </c>
      <c r="F48" s="2">
        <v>1075.3800000000001</v>
      </c>
      <c r="G48" s="2">
        <v>264.60000000000002</v>
      </c>
      <c r="H48" s="2">
        <v>264.60000000000002</v>
      </c>
      <c r="I48" s="2">
        <v>264.60000000000002</v>
      </c>
      <c r="J48" s="2">
        <v>265</v>
      </c>
      <c r="K48" s="2">
        <v>265</v>
      </c>
      <c r="L48" s="2">
        <v>265</v>
      </c>
      <c r="M48" s="2">
        <v>265</v>
      </c>
      <c r="N48" s="2">
        <v>265</v>
      </c>
      <c r="O48" s="2">
        <v>107</v>
      </c>
      <c r="P48" s="9"/>
      <c r="Q48" s="2">
        <f>SUM(OSRRefD21_4_0x)+IFERROR(SUM(OSRRefE21_4_0x),0)</f>
        <v>5451.96</v>
      </c>
    </row>
    <row r="49" spans="1:17" s="35" customFormat="1" collapsed="1" x14ac:dyDescent="0.3">
      <c r="A49" s="34"/>
      <c r="B49" s="14" t="str">
        <f>CONCATENATE("     ","General                                           ")</f>
        <v xml:space="preserve">     General                                           </v>
      </c>
      <c r="C49" s="14"/>
      <c r="D49" s="1">
        <f>SUM(OSRRefD21_5x_0)</f>
        <v>0</v>
      </c>
      <c r="E49" s="1">
        <f>SUM(OSRRefD21_5x_1)</f>
        <v>769.55</v>
      </c>
      <c r="F49" s="1">
        <f>SUM(OSRRefD21_5x_2)</f>
        <v>0</v>
      </c>
      <c r="G49" s="1">
        <f>SUM(OSRRefD21_5x_3)</f>
        <v>0</v>
      </c>
      <c r="H49" s="1">
        <f>SUM(OSRRefD21_5x_4)</f>
        <v>112.19</v>
      </c>
      <c r="I49" s="1">
        <f>SUM(OSRRefD21_5x_5)</f>
        <v>272.19</v>
      </c>
      <c r="J49" s="1">
        <f>SUM(OSRRefE21_5x_0)</f>
        <v>0</v>
      </c>
      <c r="K49" s="1">
        <f>SUM(OSRRefE21_5x_1)</f>
        <v>0</v>
      </c>
      <c r="L49" s="1">
        <f>SUM(OSRRefE21_5x_2)</f>
        <v>0</v>
      </c>
      <c r="M49" s="1">
        <f>SUM(OSRRefE21_5x_3)</f>
        <v>0</v>
      </c>
      <c r="N49" s="1">
        <f>SUM(OSRRefE21_5x_4)</f>
        <v>0</v>
      </c>
      <c r="O49" s="1">
        <f>SUM(OSRRefE21_5x_5)</f>
        <v>0</v>
      </c>
      <c r="Q49" s="2">
        <f>SUM(OSRRefD20_5x)+IFERROR(SUM(OSRRefE20_5x),0)</f>
        <v>1153.93</v>
      </c>
    </row>
    <row r="50" spans="1:17" s="35" customFormat="1" hidden="1" outlineLevel="1" x14ac:dyDescent="0.3">
      <c r="A50" s="34"/>
      <c r="B50" s="10" t="str">
        <f>CONCATENATE("          ","6279", " - ","GENERAL EXPENSE")</f>
        <v xml:space="preserve">          6279 - GENERAL EXPENSE</v>
      </c>
      <c r="C50" s="14"/>
      <c r="D50" s="2"/>
      <c r="E50" s="2">
        <v>769.55</v>
      </c>
      <c r="F50" s="2"/>
      <c r="G50" s="2"/>
      <c r="H50" s="2">
        <v>112.19</v>
      </c>
      <c r="I50" s="2">
        <v>272.19</v>
      </c>
      <c r="J50" s="2"/>
      <c r="K50" s="2"/>
      <c r="L50" s="2"/>
      <c r="M50" s="2"/>
      <c r="N50" s="2"/>
      <c r="O50" s="2"/>
      <c r="P50" s="9"/>
      <c r="Q50" s="2">
        <f>SUM(OSRRefD21_5_0x)+IFERROR(SUM(OSRRefE21_5_0x),0)</f>
        <v>1153.93</v>
      </c>
    </row>
    <row r="51" spans="1:17" s="35" customFormat="1" collapsed="1" x14ac:dyDescent="0.3">
      <c r="A51" s="34"/>
      <c r="B51" s="14" t="str">
        <f>CONCATENATE("     ","Repair and Maintenance                            ")</f>
        <v xml:space="preserve">     Repair and Maintenance                            </v>
      </c>
      <c r="C51" s="14"/>
      <c r="D51" s="1">
        <f>SUM(OSRRefD21_6x_0)</f>
        <v>0</v>
      </c>
      <c r="E51" s="1">
        <f>SUM(OSRRefD21_6x_1)</f>
        <v>0</v>
      </c>
      <c r="F51" s="1">
        <f>SUM(OSRRefD21_6x_2)</f>
        <v>47.9</v>
      </c>
      <c r="G51" s="1">
        <f>SUM(OSRRefD21_6x_3)</f>
        <v>0</v>
      </c>
      <c r="H51" s="1">
        <f>SUM(OSRRefD21_6x_4)</f>
        <v>0</v>
      </c>
      <c r="I51" s="1">
        <f>SUM(OSRRefD21_6x_5)</f>
        <v>49.93</v>
      </c>
      <c r="J51" s="1">
        <f>SUM(OSRRefE21_6x_0)</f>
        <v>265</v>
      </c>
      <c r="K51" s="1">
        <f>SUM(OSRRefE21_6x_1)</f>
        <v>115</v>
      </c>
      <c r="L51" s="1">
        <f>SUM(OSRRefE21_6x_2)</f>
        <v>253</v>
      </c>
      <c r="M51" s="1">
        <f>SUM(OSRRefE21_6x_3)</f>
        <v>265</v>
      </c>
      <c r="N51" s="1">
        <f>SUM(OSRRefE21_6x_4)</f>
        <v>115</v>
      </c>
      <c r="O51" s="1">
        <f>SUM(OSRRefE21_6x_5)</f>
        <v>115</v>
      </c>
      <c r="Q51" s="2">
        <f>SUM(OSRRefD20_6x)+IFERROR(SUM(OSRRefE20_6x),0)</f>
        <v>1225.83</v>
      </c>
    </row>
    <row r="52" spans="1:17" s="35" customFormat="1" hidden="1" outlineLevel="1" x14ac:dyDescent="0.3">
      <c r="A52" s="34"/>
      <c r="B52" s="10" t="str">
        <f>CONCATENATE("          ","6373", " - ","MAINTENANCE CONTRACTS")</f>
        <v xml:space="preserve">          6373 - MAINTENANCE CONTRACTS</v>
      </c>
      <c r="C52" s="14"/>
      <c r="D52" s="2"/>
      <c r="E52" s="2"/>
      <c r="F52" s="2">
        <v>47.9</v>
      </c>
      <c r="G52" s="2"/>
      <c r="H52" s="2"/>
      <c r="I52" s="2">
        <v>49.93</v>
      </c>
      <c r="J52" s="2">
        <v>150</v>
      </c>
      <c r="K52" s="2"/>
      <c r="L52" s="2">
        <v>138</v>
      </c>
      <c r="M52" s="2">
        <v>150</v>
      </c>
      <c r="N52" s="2"/>
      <c r="O52" s="2"/>
      <c r="P52" s="9"/>
      <c r="Q52" s="2">
        <f>SUM(OSRRefD21_6_0x)+IFERROR(SUM(OSRRefE21_6_0x),0)</f>
        <v>535.83000000000004</v>
      </c>
    </row>
    <row r="53" spans="1:17" s="35" customFormat="1" hidden="1" outlineLevel="1" x14ac:dyDescent="0.3">
      <c r="A53" s="34"/>
      <c r="B53" s="10" t="str">
        <f>CONCATENATE("          ","6375", " - ","OUTSIDE REPAIRS &amp; MAINTENANCE")</f>
        <v xml:space="preserve">          6375 - OUTSIDE REPAIRS &amp; MAINTENANCE</v>
      </c>
      <c r="C53" s="14"/>
      <c r="D53" s="2"/>
      <c r="E53" s="2"/>
      <c r="F53" s="2"/>
      <c r="G53" s="2"/>
      <c r="H53" s="2"/>
      <c r="I53" s="2"/>
      <c r="J53" s="2">
        <v>115</v>
      </c>
      <c r="K53" s="2">
        <v>115</v>
      </c>
      <c r="L53" s="2">
        <v>115</v>
      </c>
      <c r="M53" s="2">
        <v>115</v>
      </c>
      <c r="N53" s="2">
        <v>115</v>
      </c>
      <c r="O53" s="2">
        <v>115</v>
      </c>
      <c r="P53" s="9"/>
      <c r="Q53" s="2">
        <f>SUM(OSRRefD21_6_1x)+IFERROR(SUM(OSRRefE21_6_1x),0)</f>
        <v>690</v>
      </c>
    </row>
    <row r="54" spans="1:17" s="35" customFormat="1" collapsed="1" x14ac:dyDescent="0.3">
      <c r="A54" s="34"/>
      <c r="B54" s="14" t="str">
        <f>CONCATENATE("     ","Royalty &amp; Commissions                             ")</f>
        <v xml:space="preserve">     Royalty &amp; Commissions                             </v>
      </c>
      <c r="C54" s="14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0</v>
      </c>
      <c r="J54" s="1">
        <f>SUM(OSRRefE21_7x_0)</f>
        <v>949</v>
      </c>
      <c r="K54" s="1">
        <f>SUM(OSRRefE21_7x_1)</f>
        <v>2644</v>
      </c>
      <c r="L54" s="1">
        <f>SUM(OSRRefE21_7x_2)</f>
        <v>2496</v>
      </c>
      <c r="M54" s="1">
        <f>SUM(OSRRefE21_7x_3)</f>
        <v>2234</v>
      </c>
      <c r="N54" s="1">
        <f>SUM(OSRRefE21_7x_4)</f>
        <v>1239</v>
      </c>
      <c r="O54" s="1">
        <f>SUM(OSRRefE21_7x_5)</f>
        <v>336</v>
      </c>
      <c r="Q54" s="2">
        <f>SUM(OSRRefD20_7x)+IFERROR(SUM(OSRRefE20_7x),0)</f>
        <v>9898</v>
      </c>
    </row>
    <row r="55" spans="1:17" s="35" customFormat="1" hidden="1" outlineLevel="1" x14ac:dyDescent="0.3">
      <c r="A55" s="34"/>
      <c r="B55" s="10" t="str">
        <f>CONCATENATE("          ","6259", " - ","ROYALTY &amp; COMMISSIONS")</f>
        <v xml:space="preserve">          6259 - ROYALTY &amp; COMMISSIONS</v>
      </c>
      <c r="C55" s="14"/>
      <c r="D55" s="2"/>
      <c r="E55" s="2"/>
      <c r="F55" s="2"/>
      <c r="G55" s="2"/>
      <c r="H55" s="2"/>
      <c r="I55" s="2"/>
      <c r="J55" s="2">
        <v>949</v>
      </c>
      <c r="K55" s="2">
        <v>2644</v>
      </c>
      <c r="L55" s="2">
        <v>2496</v>
      </c>
      <c r="M55" s="2">
        <v>2234</v>
      </c>
      <c r="N55" s="2">
        <v>1239</v>
      </c>
      <c r="O55" s="2">
        <v>336</v>
      </c>
      <c r="P55" s="9"/>
      <c r="Q55" s="2">
        <f>SUM(OSRRefD21_7_0x)+IFERROR(SUM(OSRRefE21_7_0x),0)</f>
        <v>9898</v>
      </c>
    </row>
    <row r="56" spans="1:17" s="35" customFormat="1" collapsed="1" x14ac:dyDescent="0.3">
      <c r="A56" s="34"/>
      <c r="B56" s="14" t="str">
        <f>CONCATENATE("     ","Services                                          ")</f>
        <v xml:space="preserve">     Services                                          </v>
      </c>
      <c r="C56" s="14"/>
      <c r="D56" s="1">
        <f>SUM(OSRRefD21_8x_0)</f>
        <v>0</v>
      </c>
      <c r="E56" s="1">
        <f>SUM(OSRRefD21_8x_1)</f>
        <v>103.2</v>
      </c>
      <c r="F56" s="1">
        <f>SUM(OSRRefD21_8x_2)</f>
        <v>0</v>
      </c>
      <c r="G56" s="1">
        <f>SUM(OSRRefD21_8x_3)</f>
        <v>0</v>
      </c>
      <c r="H56" s="1">
        <f>SUM(OSRRefD21_8x_4)</f>
        <v>0</v>
      </c>
      <c r="I56" s="1">
        <f>SUM(OSRRefD21_8x_5)</f>
        <v>0</v>
      </c>
      <c r="J56" s="1">
        <f>SUM(OSRRefE21_8x_0)</f>
        <v>100</v>
      </c>
      <c r="K56" s="1">
        <f>SUM(OSRRefE21_8x_1)</f>
        <v>100</v>
      </c>
      <c r="L56" s="1">
        <f>SUM(OSRRefE21_8x_2)</f>
        <v>100</v>
      </c>
      <c r="M56" s="1">
        <f>SUM(OSRRefE21_8x_3)</f>
        <v>100</v>
      </c>
      <c r="N56" s="1">
        <f>SUM(OSRRefE21_8x_4)</f>
        <v>100</v>
      </c>
      <c r="O56" s="1">
        <f>SUM(OSRRefE21_8x_5)</f>
        <v>100</v>
      </c>
      <c r="Q56" s="2">
        <f>SUM(OSRRefD20_8x)+IFERROR(SUM(OSRRefE20_8x),0)</f>
        <v>703.2</v>
      </c>
    </row>
    <row r="57" spans="1:17" s="35" customFormat="1" hidden="1" outlineLevel="1" x14ac:dyDescent="0.3">
      <c r="A57" s="34"/>
      <c r="B57" s="10" t="str">
        <f>CONCATENATE("          ","6282", " - ","JANITORIAL/EXTERMINATOR EXPENS")</f>
        <v xml:space="preserve">          6282 - JANITORIAL/EXTERMINATOR EXPENS</v>
      </c>
      <c r="C57" s="14"/>
      <c r="D57" s="2"/>
      <c r="E57" s="2"/>
      <c r="F57" s="2"/>
      <c r="G57" s="2"/>
      <c r="H57" s="2"/>
      <c r="I57" s="2"/>
      <c r="J57" s="2">
        <v>100</v>
      </c>
      <c r="K57" s="2">
        <v>100</v>
      </c>
      <c r="L57" s="2">
        <v>100</v>
      </c>
      <c r="M57" s="2">
        <v>100</v>
      </c>
      <c r="N57" s="2">
        <v>100</v>
      </c>
      <c r="O57" s="2">
        <v>100</v>
      </c>
      <c r="P57" s="9"/>
      <c r="Q57" s="2">
        <f>SUM(OSRRefD21_8_0x)+IFERROR(SUM(OSRRefE21_8_0x),0)</f>
        <v>600</v>
      </c>
    </row>
    <row r="58" spans="1:17" s="35" customFormat="1" hidden="1" outlineLevel="1" x14ac:dyDescent="0.3">
      <c r="A58" s="34"/>
      <c r="B58" s="10" t="str">
        <f>CONCATENATE("          ","6285", " - ","JANITORIAL SERVICES")</f>
        <v xml:space="preserve">          6285 - JANITORIAL SERVICES</v>
      </c>
      <c r="C58" s="14"/>
      <c r="D58" s="2"/>
      <c r="E58" s="2">
        <v>103.2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103.2</v>
      </c>
    </row>
    <row r="59" spans="1:17" s="35" customFormat="1" collapsed="1" x14ac:dyDescent="0.3">
      <c r="A59" s="34"/>
      <c r="B59" s="14" t="str">
        <f>CONCATENATE("     ","Supplies                                          ")</f>
        <v xml:space="preserve">     Supplies                                          </v>
      </c>
      <c r="C59" s="14"/>
      <c r="D59" s="1">
        <f>SUM(OSRRefD21_9x_0)</f>
        <v>4.5</v>
      </c>
      <c r="E59" s="1">
        <f>SUM(OSRRefD21_9x_1)</f>
        <v>38.340000000000003</v>
      </c>
      <c r="F59" s="1">
        <f>SUM(OSRRefD21_9x_2)</f>
        <v>0</v>
      </c>
      <c r="G59" s="1">
        <f>SUM(OSRRefD21_9x_3)</f>
        <v>1194.8900000000001</v>
      </c>
      <c r="H59" s="1">
        <f>SUM(OSRRefD21_9x_4)</f>
        <v>0</v>
      </c>
      <c r="I59" s="1">
        <f>SUM(OSRRefD21_9x_5)</f>
        <v>2.21</v>
      </c>
      <c r="J59" s="1">
        <f>SUM(OSRRefE21_9x_0)</f>
        <v>1300</v>
      </c>
      <c r="K59" s="1">
        <f>SUM(OSRRefE21_9x_1)</f>
        <v>1100</v>
      </c>
      <c r="L59" s="1">
        <f>SUM(OSRRefE21_9x_2)</f>
        <v>700</v>
      </c>
      <c r="M59" s="1">
        <f>SUM(OSRRefE21_9x_3)</f>
        <v>800</v>
      </c>
      <c r="N59" s="1">
        <f>SUM(OSRRefE21_9x_4)</f>
        <v>1100</v>
      </c>
      <c r="O59" s="1">
        <f>SUM(OSRRefE21_9x_5)</f>
        <v>0</v>
      </c>
      <c r="Q59" s="2">
        <f>SUM(OSRRefD20_9x)+IFERROR(SUM(OSRRefE20_9x),0)</f>
        <v>6239.9400000000005</v>
      </c>
    </row>
    <row r="60" spans="1:17" s="35" customFormat="1" hidden="1" outlineLevel="1" x14ac:dyDescent="0.3">
      <c r="A60" s="34"/>
      <c r="B60" s="10" t="str">
        <f>CONCATENATE("          ","6234", " - ","EXPENDABLE SUPPLIES &amp; EQUIPMEN")</f>
        <v xml:space="preserve">          6234 - EXPENDABLE SUPPLIES &amp; EQUIPMEN</v>
      </c>
      <c r="C60" s="14"/>
      <c r="D60" s="2"/>
      <c r="E60" s="2"/>
      <c r="F60" s="2"/>
      <c r="G60" s="2">
        <v>1194.8900000000001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1194.8900000000001</v>
      </c>
    </row>
    <row r="61" spans="1:17" s="35" customFormat="1" hidden="1" outlineLevel="1" x14ac:dyDescent="0.3">
      <c r="A61" s="34"/>
      <c r="B61" s="10" t="str">
        <f>CONCATENATE("          ","6237", " - ","JANITORIAL SUPPLIES")</f>
        <v xml:space="preserve">          6237 - JANITORIAL SUPPLIES</v>
      </c>
      <c r="C61" s="14"/>
      <c r="D61" s="2"/>
      <c r="E61" s="2">
        <v>38.340000000000003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SUM(OSRRefD21_9_1x)+IFERROR(SUM(OSRRefE21_9_1x),0)</f>
        <v>38.340000000000003</v>
      </c>
    </row>
    <row r="62" spans="1:17" s="35" customFormat="1" hidden="1" outlineLevel="1" x14ac:dyDescent="0.3">
      <c r="A62" s="34"/>
      <c r="B62" s="10" t="str">
        <f>CONCATENATE("          ","6241", " - ","OFFICE EXPENSE")</f>
        <v xml:space="preserve">          6241 - OFFICE EXPENSE</v>
      </c>
      <c r="C62" s="14"/>
      <c r="D62" s="2">
        <v>4.5</v>
      </c>
      <c r="E62" s="2"/>
      <c r="F62" s="2"/>
      <c r="G62" s="2"/>
      <c r="H62" s="2"/>
      <c r="I62" s="2">
        <v>2.21</v>
      </c>
      <c r="J62" s="2"/>
      <c r="K62" s="2"/>
      <c r="L62" s="2"/>
      <c r="M62" s="2"/>
      <c r="N62" s="2"/>
      <c r="O62" s="2"/>
      <c r="P62" s="9"/>
      <c r="Q62" s="2">
        <f>SUM(OSRRefD21_9_2x)+IFERROR(SUM(OSRRefE21_9_2x),0)</f>
        <v>6.71</v>
      </c>
    </row>
    <row r="63" spans="1:17" s="35" customFormat="1" hidden="1" outlineLevel="1" x14ac:dyDescent="0.3">
      <c r="A63" s="34"/>
      <c r="B63" s="10" t="str">
        <f>CONCATENATE("          ","6247", " - ","STORE SUPPLIES")</f>
        <v xml:space="preserve">          6247 - STORE SUPPLIES</v>
      </c>
      <c r="C63" s="14"/>
      <c r="D63" s="2"/>
      <c r="E63" s="2"/>
      <c r="F63" s="2"/>
      <c r="G63" s="2"/>
      <c r="H63" s="2"/>
      <c r="I63" s="2"/>
      <c r="J63" s="2">
        <v>1300</v>
      </c>
      <c r="K63" s="2">
        <v>1100</v>
      </c>
      <c r="L63" s="2">
        <v>700</v>
      </c>
      <c r="M63" s="2">
        <v>800</v>
      </c>
      <c r="N63" s="2">
        <v>1100</v>
      </c>
      <c r="O63" s="2">
        <v>0</v>
      </c>
      <c r="P63" s="9"/>
      <c r="Q63" s="2">
        <f>SUM(OSRRefD21_9_3x)+IFERROR(SUM(OSRRefE21_9_3x),0)</f>
        <v>5000</v>
      </c>
    </row>
    <row r="64" spans="1:17" s="35" customFormat="1" collapsed="1" x14ac:dyDescent="0.3">
      <c r="A64" s="34"/>
      <c r="B64" s="14" t="str">
        <f>CONCATENATE("     ","Telephone/Data Lines                              ")</f>
        <v xml:space="preserve">     Telephone/Data Lines                              </v>
      </c>
      <c r="C64" s="14"/>
      <c r="D64" s="1">
        <f>SUM(OSRRefD21_10x_0)</f>
        <v>29.5</v>
      </c>
      <c r="E64" s="1">
        <f>SUM(OSRRefD21_10x_1)</f>
        <v>51.5</v>
      </c>
      <c r="F64" s="1">
        <f>SUM(OSRRefD21_10x_2)</f>
        <v>51.5</v>
      </c>
      <c r="G64" s="1">
        <f>SUM(OSRRefD21_10x_3)</f>
        <v>51.5</v>
      </c>
      <c r="H64" s="1">
        <f>SUM(OSRRefD21_10x_4)</f>
        <v>0</v>
      </c>
      <c r="I64" s="1">
        <f>SUM(OSRRefD21_10x_5)</f>
        <v>551.5</v>
      </c>
      <c r="J64" s="1">
        <f>SUM(OSRRefE21_10x_0)</f>
        <v>53</v>
      </c>
      <c r="K64" s="1">
        <f>SUM(OSRRefE21_10x_1)</f>
        <v>53</v>
      </c>
      <c r="L64" s="1">
        <f>SUM(OSRRefE21_10x_2)</f>
        <v>53</v>
      </c>
      <c r="M64" s="1">
        <f>SUM(OSRRefE21_10x_3)</f>
        <v>53</v>
      </c>
      <c r="N64" s="1">
        <f>SUM(OSRRefE21_10x_4)</f>
        <v>53</v>
      </c>
      <c r="O64" s="1">
        <f>SUM(OSRRefE21_10x_5)</f>
        <v>53</v>
      </c>
      <c r="Q64" s="2">
        <f>SUM(OSRRefD20_10x)+IFERROR(SUM(OSRRefE20_10x),0)</f>
        <v>1053.5</v>
      </c>
    </row>
    <row r="65" spans="1:17" s="35" customFormat="1" hidden="1" outlineLevel="1" x14ac:dyDescent="0.3">
      <c r="A65" s="34"/>
      <c r="B65" s="10" t="str">
        <f>CONCATENATE("          ","6309", " - ","TELEPHONE")</f>
        <v xml:space="preserve">          6309 - TELEPHONE</v>
      </c>
      <c r="C65" s="14"/>
      <c r="D65" s="2">
        <v>29.5</v>
      </c>
      <c r="E65" s="2">
        <v>51.5</v>
      </c>
      <c r="F65" s="2">
        <v>51.5</v>
      </c>
      <c r="G65" s="2">
        <v>51.5</v>
      </c>
      <c r="H65" s="2">
        <v>0</v>
      </c>
      <c r="I65" s="2">
        <v>551.5</v>
      </c>
      <c r="J65" s="2">
        <v>53</v>
      </c>
      <c r="K65" s="2">
        <v>53</v>
      </c>
      <c r="L65" s="2">
        <v>53</v>
      </c>
      <c r="M65" s="2">
        <v>53</v>
      </c>
      <c r="N65" s="2">
        <v>53</v>
      </c>
      <c r="O65" s="2">
        <v>53</v>
      </c>
      <c r="P65" s="9"/>
      <c r="Q65" s="2">
        <f>SUM(OSRRefD21_10_0x)+IFERROR(SUM(OSRRefE21_10_0x),0)</f>
        <v>1053.5</v>
      </c>
    </row>
    <row r="66" spans="1:17" s="35" customFormat="1" collapsed="1" x14ac:dyDescent="0.3">
      <c r="A66" s="34"/>
      <c r="B66" s="14" t="str">
        <f>CONCATENATE("     ","Training                                          ")</f>
        <v xml:space="preserve">     Training                                          </v>
      </c>
      <c r="C66" s="14"/>
      <c r="D66" s="1">
        <f>SUM(OSRRefD21_11x_0)</f>
        <v>0</v>
      </c>
      <c r="E66" s="1">
        <f>SUM(OSRRefD21_11x_1)</f>
        <v>0</v>
      </c>
      <c r="F66" s="1">
        <f>SUM(OSRRefD21_11x_2)</f>
        <v>0</v>
      </c>
      <c r="G66" s="1">
        <f>SUM(OSRRefD21_11x_3)</f>
        <v>0</v>
      </c>
      <c r="H66" s="1">
        <f>SUM(OSRRefD21_11x_4)</f>
        <v>0</v>
      </c>
      <c r="I66" s="1">
        <f>SUM(OSRRefD21_11x_5)</f>
        <v>0</v>
      </c>
      <c r="J66" s="1">
        <f>SUM(OSRRefE21_11x_0)</f>
        <v>75</v>
      </c>
      <c r="K66" s="1">
        <f>SUM(OSRRefE21_11x_1)</f>
        <v>0</v>
      </c>
      <c r="L66" s="1">
        <f>SUM(OSRRefE21_11x_2)</f>
        <v>0</v>
      </c>
      <c r="M66" s="1">
        <f>SUM(OSRRefE21_11x_3)</f>
        <v>0</v>
      </c>
      <c r="N66" s="1">
        <f>SUM(OSRRefE21_11x_4)</f>
        <v>0</v>
      </c>
      <c r="O66" s="1">
        <f>SUM(OSRRefE21_11x_5)</f>
        <v>0</v>
      </c>
      <c r="Q66" s="2">
        <f>SUM(OSRRefD20_11x)+IFERROR(SUM(OSRRefE20_11x),0)</f>
        <v>75</v>
      </c>
    </row>
    <row r="67" spans="1:17" s="35" customFormat="1" hidden="1" outlineLevel="1" x14ac:dyDescent="0.3">
      <c r="A67" s="34"/>
      <c r="B67" s="10" t="str">
        <f>CONCATENATE("          ","6376", " - ","TRAINING")</f>
        <v xml:space="preserve">          6376 - TRAINING</v>
      </c>
      <c r="C67" s="14"/>
      <c r="D67" s="2"/>
      <c r="E67" s="2"/>
      <c r="F67" s="2"/>
      <c r="G67" s="2"/>
      <c r="H67" s="2"/>
      <c r="I67" s="2"/>
      <c r="J67" s="2">
        <v>75</v>
      </c>
      <c r="K67" s="2"/>
      <c r="L67" s="2">
        <v>0</v>
      </c>
      <c r="M67" s="2"/>
      <c r="N67" s="2"/>
      <c r="O67" s="2"/>
      <c r="P67" s="9"/>
      <c r="Q67" s="2">
        <f>SUM(OSRRefD21_11_0x)+IFERROR(SUM(OSRRefE21_11_0x),0)</f>
        <v>75</v>
      </c>
    </row>
    <row r="68" spans="1:17" s="29" customFormat="1" x14ac:dyDescent="0.3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3">
      <c r="A69" s="23"/>
      <c r="B69" s="16" t="s">
        <v>293</v>
      </c>
      <c r="C69" s="22"/>
      <c r="D69" s="3">
        <f t="shared" ref="D69:I69" si="3">0</f>
        <v>0</v>
      </c>
      <c r="E69" s="3">
        <f t="shared" si="3"/>
        <v>0</v>
      </c>
      <c r="F69" s="3">
        <f t="shared" si="3"/>
        <v>0</v>
      </c>
      <c r="G69" s="3">
        <f t="shared" si="3"/>
        <v>0</v>
      </c>
      <c r="H69" s="3">
        <f t="shared" si="3"/>
        <v>0</v>
      </c>
      <c r="I69" s="3">
        <f t="shared" si="3"/>
        <v>0</v>
      </c>
      <c r="J69" s="3"/>
      <c r="K69" s="3"/>
      <c r="L69" s="3"/>
      <c r="M69" s="3"/>
      <c r="N69" s="3"/>
      <c r="O69" s="3"/>
      <c r="Q69" s="2">
        <f>SUM(OSRRefD23_0x)+IFERROR(SUM(OSRRefE23_0x),0)</f>
        <v>0</v>
      </c>
    </row>
    <row r="70" spans="1:17" x14ac:dyDescent="0.3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">
      <c r="A71" s="6"/>
      <c r="B71" s="17" t="s">
        <v>276</v>
      </c>
      <c r="C71" s="17"/>
      <c r="D71" s="7">
        <f t="shared" ref="D71:O71" si="4">IFERROR(+D18-D21+D69, 0)</f>
        <v>-1184.5100000000002</v>
      </c>
      <c r="E71" s="7">
        <f t="shared" si="4"/>
        <v>-2313.6099999999997</v>
      </c>
      <c r="F71" s="7">
        <f t="shared" si="4"/>
        <v>-1274.7300000000002</v>
      </c>
      <c r="G71" s="7">
        <f t="shared" si="4"/>
        <v>-1610.94</v>
      </c>
      <c r="H71" s="7">
        <f t="shared" si="4"/>
        <v>-9740.8700000000008</v>
      </c>
      <c r="I71" s="7">
        <f t="shared" si="4"/>
        <v>-5106.0700000000006</v>
      </c>
      <c r="J71" s="7">
        <f t="shared" si="4"/>
        <v>-2069.6191252500003</v>
      </c>
      <c r="K71" s="7">
        <f t="shared" si="4"/>
        <v>3862.8253810000006</v>
      </c>
      <c r="L71" s="7">
        <f t="shared" si="4"/>
        <v>5250.3808747500007</v>
      </c>
      <c r="M71" s="7">
        <f t="shared" si="4"/>
        <v>1080.2143652499999</v>
      </c>
      <c r="N71" s="7">
        <f t="shared" si="4"/>
        <v>2212.9167452500005</v>
      </c>
      <c r="O71" s="7">
        <f t="shared" si="4"/>
        <v>-2149.9526240000005</v>
      </c>
      <c r="Q71" s="7">
        <f>IFERROR(+Q18-Q21+Q69, 0)</f>
        <v>-13043.964383000006</v>
      </c>
    </row>
    <row r="72" spans="1:17" s="6" customFormat="1" x14ac:dyDescent="0.3">
      <c r="B72" s="16"/>
      <c r="C72" s="16"/>
      <c r="D72" s="4">
        <f t="shared" ref="D72:O72" si="5">IFERROR(D71/D10, 0)</f>
        <v>0</v>
      </c>
      <c r="E72" s="4">
        <f t="shared" si="5"/>
        <v>0</v>
      </c>
      <c r="F72" s="4">
        <f t="shared" si="5"/>
        <v>0</v>
      </c>
      <c r="G72" s="4">
        <f t="shared" si="5"/>
        <v>0</v>
      </c>
      <c r="H72" s="4">
        <f t="shared" si="5"/>
        <v>0</v>
      </c>
      <c r="I72" s="4">
        <f t="shared" si="5"/>
        <v>0</v>
      </c>
      <c r="J72" s="4">
        <f t="shared" si="5"/>
        <v>-0.19637718239396529</v>
      </c>
      <c r="K72" s="4">
        <f t="shared" si="5"/>
        <v>0.13148701004152769</v>
      </c>
      <c r="L72" s="4">
        <f t="shared" si="5"/>
        <v>0.18934620342421293</v>
      </c>
      <c r="M72" s="4">
        <f t="shared" si="5"/>
        <v>4.352368609734477E-2</v>
      </c>
      <c r="N72" s="4">
        <f t="shared" si="5"/>
        <v>0.16072899079386987</v>
      </c>
      <c r="O72" s="4">
        <f t="shared" si="5"/>
        <v>-0.57577734975897177</v>
      </c>
      <c r="P72" s="18"/>
      <c r="Q72" s="4">
        <f>IFERROR(Q71/Q10, 0)</f>
        <v>-0.11861707951476358</v>
      </c>
    </row>
    <row r="73" spans="1:17" x14ac:dyDescent="0.3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25"/>
      <c r="B74" s="6" t="s">
        <v>125</v>
      </c>
      <c r="C74" s="6"/>
      <c r="D74" s="3"/>
      <c r="E74" s="3"/>
      <c r="F74" s="3"/>
      <c r="G74" s="3"/>
      <c r="H74" s="3"/>
      <c r="I74" s="3"/>
      <c r="J74" s="3">
        <v>1122</v>
      </c>
      <c r="K74" s="3">
        <v>3415</v>
      </c>
      <c r="L74" s="3">
        <v>3336</v>
      </c>
      <c r="M74" s="3">
        <v>3195</v>
      </c>
      <c r="N74" s="3">
        <v>1839</v>
      </c>
      <c r="O74" s="3">
        <v>-1201</v>
      </c>
      <c r="Q74" s="2">
        <f>SUM(OSRRefD28_0x)+IFERROR(SUM(OSRRefE28_0x),0)</f>
        <v>11706</v>
      </c>
    </row>
    <row r="75" spans="1:17" x14ac:dyDescent="0.3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" thickBot="1" x14ac:dyDescent="0.35">
      <c r="A76" s="6"/>
      <c r="B76" s="17" t="s">
        <v>124</v>
      </c>
      <c r="C76" s="17"/>
      <c r="D76" s="8">
        <f t="shared" ref="D76:O76" si="6">IFERROR(+D71-D74, 0)</f>
        <v>-1184.5100000000002</v>
      </c>
      <c r="E76" s="8">
        <f t="shared" si="6"/>
        <v>-2313.6099999999997</v>
      </c>
      <c r="F76" s="8">
        <f t="shared" si="6"/>
        <v>-1274.7300000000002</v>
      </c>
      <c r="G76" s="8">
        <f t="shared" si="6"/>
        <v>-1610.94</v>
      </c>
      <c r="H76" s="8">
        <f t="shared" si="6"/>
        <v>-9740.8700000000008</v>
      </c>
      <c r="I76" s="8">
        <f t="shared" si="6"/>
        <v>-5106.0700000000006</v>
      </c>
      <c r="J76" s="8">
        <f t="shared" si="6"/>
        <v>-3191.6191252500003</v>
      </c>
      <c r="K76" s="8">
        <f t="shared" si="6"/>
        <v>447.82538100000056</v>
      </c>
      <c r="L76" s="8">
        <f t="shared" si="6"/>
        <v>1914.3808747500007</v>
      </c>
      <c r="M76" s="8">
        <f t="shared" si="6"/>
        <v>-2114.7856347500001</v>
      </c>
      <c r="N76" s="8">
        <f t="shared" si="6"/>
        <v>373.91674525000053</v>
      </c>
      <c r="O76" s="8">
        <f t="shared" si="6"/>
        <v>-948.95262400000047</v>
      </c>
      <c r="Q76" s="8">
        <f>IFERROR(+Q71-Q74, 0)</f>
        <v>-24749.964383000006</v>
      </c>
    </row>
    <row r="77" spans="1:17" ht="15" thickTop="1" x14ac:dyDescent="0.3">
      <c r="A77" s="5"/>
      <c r="B77" s="5"/>
      <c r="C77" s="5"/>
      <c r="D77" s="4">
        <f t="shared" ref="D77:O77" si="7">IFERROR(D76/D10, 0)</f>
        <v>0</v>
      </c>
      <c r="E77" s="4">
        <f t="shared" si="7"/>
        <v>0</v>
      </c>
      <c r="F77" s="4">
        <f t="shared" si="7"/>
        <v>0</v>
      </c>
      <c r="G77" s="4">
        <f t="shared" si="7"/>
        <v>0</v>
      </c>
      <c r="H77" s="4">
        <f t="shared" si="7"/>
        <v>0</v>
      </c>
      <c r="I77" s="4">
        <f t="shared" si="7"/>
        <v>0</v>
      </c>
      <c r="J77" s="4">
        <f t="shared" si="7"/>
        <v>-0.30283889602903502</v>
      </c>
      <c r="K77" s="4">
        <f t="shared" si="7"/>
        <v>1.5243562563823289E-2</v>
      </c>
      <c r="L77" s="4">
        <f t="shared" si="7"/>
        <v>6.9038943876447059E-2</v>
      </c>
      <c r="M77" s="4">
        <f t="shared" si="7"/>
        <v>-8.5208333726177532E-2</v>
      </c>
      <c r="N77" s="4">
        <f t="shared" si="7"/>
        <v>2.7158392304619444E-2</v>
      </c>
      <c r="O77" s="4">
        <f t="shared" si="7"/>
        <v>-0.25413835672201407</v>
      </c>
      <c r="P77" s="18"/>
      <c r="Q77" s="4">
        <f>IFERROR(Q76/Q10, 0)</f>
        <v>-0.22506719636800138</v>
      </c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294</v>
      </c>
      <c r="C80" s="17"/>
      <c r="D80" s="8">
        <f t="shared" ref="D80:O80" si="8">IFERROR(SUM(D76:D79), 0)</f>
        <v>-1184.5100000000002</v>
      </c>
      <c r="E80" s="8">
        <f t="shared" si="8"/>
        <v>-2313.6099999999997</v>
      </c>
      <c r="F80" s="8">
        <f t="shared" si="8"/>
        <v>-1274.7300000000002</v>
      </c>
      <c r="G80" s="8">
        <f t="shared" si="8"/>
        <v>-1610.94</v>
      </c>
      <c r="H80" s="8">
        <f t="shared" si="8"/>
        <v>-9740.8700000000008</v>
      </c>
      <c r="I80" s="8">
        <f t="shared" si="8"/>
        <v>-5106.0700000000006</v>
      </c>
      <c r="J80" s="8">
        <f t="shared" si="8"/>
        <v>-3191.9219641460295</v>
      </c>
      <c r="K80" s="8">
        <f t="shared" si="8"/>
        <v>447.84062456256436</v>
      </c>
      <c r="L80" s="8">
        <f t="shared" si="8"/>
        <v>1914.4499136938771</v>
      </c>
      <c r="M80" s="8">
        <f t="shared" si="8"/>
        <v>-2114.8708430837264</v>
      </c>
      <c r="N80" s="8">
        <f t="shared" si="8"/>
        <v>373.94390364230514</v>
      </c>
      <c r="O80" s="8">
        <f t="shared" si="8"/>
        <v>-949.20676235672249</v>
      </c>
      <c r="Q80" s="8">
        <f>IFERROR(SUM(Q76:Q79), 0)</f>
        <v>-24750.189450196372</v>
      </c>
    </row>
    <row r="81" spans="1:17" ht="15" thickTop="1" x14ac:dyDescent="0.3">
      <c r="A81" s="5"/>
      <c r="C81" s="5"/>
      <c r="D81" s="4">
        <f t="shared" ref="D81:O81" si="9">IFERROR(D80/D10, 0)</f>
        <v>0</v>
      </c>
      <c r="E81" s="4">
        <f t="shared" si="9"/>
        <v>0</v>
      </c>
      <c r="F81" s="4">
        <f t="shared" si="9"/>
        <v>0</v>
      </c>
      <c r="G81" s="4">
        <f t="shared" si="9"/>
        <v>0</v>
      </c>
      <c r="H81" s="4">
        <f t="shared" si="9"/>
        <v>0</v>
      </c>
      <c r="I81" s="4">
        <f t="shared" si="9"/>
        <v>0</v>
      </c>
      <c r="J81" s="4">
        <f t="shared" si="9"/>
        <v>-0.3028676310983992</v>
      </c>
      <c r="K81" s="4">
        <f t="shared" si="9"/>
        <v>1.5244081440621022E-2</v>
      </c>
      <c r="L81" s="4">
        <f t="shared" si="9"/>
        <v>6.9041433650469802E-2</v>
      </c>
      <c r="M81" s="4">
        <f t="shared" si="9"/>
        <v>-8.5211766915819595E-2</v>
      </c>
      <c r="N81" s="4">
        <f t="shared" si="9"/>
        <v>2.7160364878145347E-2</v>
      </c>
      <c r="O81" s="4">
        <f t="shared" si="9"/>
        <v>-0.25420641734245381</v>
      </c>
      <c r="P81" s="18"/>
      <c r="Q81" s="4">
        <f>IFERROR(Q80/Q10, 0)</f>
        <v>-0.2250692430474267</v>
      </c>
    </row>
    <row r="82" spans="1:17" x14ac:dyDescent="0.3">
      <c r="A82" s="5"/>
      <c r="B82" s="28">
        <v>44575.850692245367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A83" s="5"/>
      <c r="B83" s="26" t="s">
        <v>54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3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","322", " - ", "Beach Hut")</f>
        <v>Department 322 - Beach Hut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71.86</v>
      </c>
      <c r="G17" s="12">
        <f>SUM(OSRRefD20x_3)</f>
        <v>-71.86</v>
      </c>
      <c r="H17" s="12">
        <f>SUM(OSRRefD20x_4)</f>
        <v>0</v>
      </c>
      <c r="I17" s="12">
        <f>SUM(OSRRefD20x_5)</f>
        <v>0</v>
      </c>
      <c r="J17" s="12">
        <f>SUM(OSRRefE20x_0)</f>
        <v>0</v>
      </c>
      <c r="K17" s="12">
        <f>SUM(OSRRefE20x_1)</f>
        <v>0</v>
      </c>
      <c r="L17" s="12">
        <f>SUM(OSRRefE20x_2)</f>
        <v>0</v>
      </c>
      <c r="M17" s="12">
        <f>SUM(OSRRefE20x_3)</f>
        <v>0</v>
      </c>
      <c r="N17" s="12">
        <f>SUM(OSRRefE20x_4)</f>
        <v>0</v>
      </c>
      <c r="O17" s="12">
        <f>SUM(OSRRefE20x_5)</f>
        <v>0</v>
      </c>
      <c r="Q17" s="12">
        <f>SUM(OSRRefG20x)</f>
        <v>0</v>
      </c>
    </row>
    <row r="18" spans="1:17" s="35" customFormat="1" collapsed="1" x14ac:dyDescent="0.3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71.86</v>
      </c>
      <c r="G18" s="1">
        <f>SUM(OSRRefD21_0x_3)</f>
        <v>-71.86</v>
      </c>
      <c r="H18" s="1">
        <f>SUM(OSRRefD21_0x_4)</f>
        <v>0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0</v>
      </c>
    </row>
    <row r="19" spans="1:17" s="35" customFormat="1" hidden="1" outlineLevel="1" x14ac:dyDescent="0.3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71.86</v>
      </c>
      <c r="G19" s="2">
        <v>-71.86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29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I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-71.86</v>
      </c>
      <c r="G23" s="7">
        <f t="shared" si="5"/>
        <v>71.86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0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-71.86</v>
      </c>
      <c r="G28" s="8">
        <f t="shared" si="7"/>
        <v>71.86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0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-71.86</v>
      </c>
      <c r="G32" s="8">
        <f t="shared" si="9"/>
        <v>71.86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0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28">
        <v>44575.850692245367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26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3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","325", " - ", "Outpost C-Store")</f>
        <v>Department 325 - Outpost C-Store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6534.79</v>
      </c>
      <c r="F10" s="3">
        <f>SUM(OSRRefD11x_2)</f>
        <v>16104.16</v>
      </c>
      <c r="G10" s="3">
        <f>SUM(OSRRefD11x_3)</f>
        <v>25425.519999999997</v>
      </c>
      <c r="H10" s="3">
        <f>SUM(OSRRefD11x_4)</f>
        <v>15236.84</v>
      </c>
      <c r="I10" s="3">
        <f>SUM(OSRRefD11x_5)</f>
        <v>12407.470000000001</v>
      </c>
      <c r="J10" s="3">
        <f>SUM(OSRRefE11x_0)</f>
        <v>24837</v>
      </c>
      <c r="K10" s="3">
        <f>SUM(OSRRefE11x_1)</f>
        <v>67104</v>
      </c>
      <c r="L10" s="3">
        <f>SUM(OSRRefE11x_2)</f>
        <v>64600</v>
      </c>
      <c r="M10" s="3">
        <f>SUM(OSRRefE11x_3)</f>
        <v>59135</v>
      </c>
      <c r="N10" s="3">
        <f>SUM(OSRRefE11x_4)</f>
        <v>28802</v>
      </c>
      <c r="O10" s="3">
        <f>SUM(OSRRefE11x_5)</f>
        <v>9241</v>
      </c>
      <c r="P10" s="24"/>
      <c r="Q10" s="3">
        <f>SUM(OSRRefG11x)</f>
        <v>329427.78000000003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2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f>--2128.3</f>
        <v>2128.3000000000002</v>
      </c>
      <c r="J11" s="2">
        <v>4402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57780.65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--5299.87</f>
        <v>5299.87</v>
      </c>
      <c r="F12" s="2">
        <f>--13245.23</f>
        <v>13245.23</v>
      </c>
      <c r="G12" s="2">
        <f>--21202.87</f>
        <v>21202.87</v>
      </c>
      <c r="H12" s="2">
        <f>--12930.99</f>
        <v>12930.99</v>
      </c>
      <c r="I12" s="2">
        <f>--10279.17</f>
        <v>10279.17</v>
      </c>
      <c r="J12" s="2">
        <v>20435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271647.13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3201.5599999999995</v>
      </c>
      <c r="F14" s="3">
        <f>SUM(OSRRefD14x_2)</f>
        <v>7890.5199999999995</v>
      </c>
      <c r="G14" s="3">
        <f>SUM(OSRRefD14x_3)</f>
        <v>12458.560000000001</v>
      </c>
      <c r="H14" s="3">
        <f>SUM(OSRRefD14x_4)</f>
        <v>6563.18</v>
      </c>
      <c r="I14" s="3">
        <f>SUM(OSRRefD14x_5)</f>
        <v>7713.2900000000009</v>
      </c>
      <c r="J14" s="3">
        <f>SUM(OSRRefE14x_0)</f>
        <v>12170</v>
      </c>
      <c r="K14" s="3">
        <f>SUM(OSRRefE14x_1)</f>
        <v>33047</v>
      </c>
      <c r="L14" s="3">
        <f>SUM(OSRRefE14x_2)</f>
        <v>31654</v>
      </c>
      <c r="M14" s="3">
        <f>SUM(OSRRefE14x_3)</f>
        <v>28976</v>
      </c>
      <c r="N14" s="3">
        <f>SUM(OSRRefE14x_4)</f>
        <v>14113</v>
      </c>
      <c r="O14" s="3">
        <f>SUM(OSRRefE14x_5)</f>
        <v>4528</v>
      </c>
      <c r="Q14" s="3">
        <f>SUM(OSRRefG14x)</f>
        <v>162315.11000000002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12170</v>
      </c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124488</v>
      </c>
    </row>
    <row r="16" spans="1:18" s="9" customFormat="1" hidden="1" outlineLevel="1" x14ac:dyDescent="0.3">
      <c r="A16" s="23"/>
      <c r="B16" s="10" t="str">
        <f>CONCATENATE("          ","5053", " - ","PURCHASES @ COST-FOOD")</f>
        <v xml:space="preserve">          5053 - PURCHASES @ COST-FOOD</v>
      </c>
      <c r="C16" s="22"/>
      <c r="D16" s="2">
        <v>0</v>
      </c>
      <c r="E16" s="2">
        <v>14940.56</v>
      </c>
      <c r="F16" s="2">
        <v>8370.32</v>
      </c>
      <c r="G16" s="2">
        <v>12727.12</v>
      </c>
      <c r="H16" s="2">
        <v>3858.46</v>
      </c>
      <c r="I16" s="2">
        <v>1757.73</v>
      </c>
      <c r="J16" s="2"/>
      <c r="K16" s="2"/>
      <c r="L16" s="2"/>
      <c r="M16" s="2"/>
      <c r="N16" s="2"/>
      <c r="O16" s="2"/>
      <c r="Q16" s="2">
        <f>SUM(OSRRefD14_1x)+IFERROR(SUM(OSRRefE14_1x),0)</f>
        <v>41654.19</v>
      </c>
    </row>
    <row r="17" spans="1:17" s="9" customFormat="1" hidden="1" outlineLevel="1" x14ac:dyDescent="0.3">
      <c r="A17" s="23"/>
      <c r="B17" s="10" t="str">
        <f>CONCATENATE("          ","5059", " - ","PURCHASES @ COST-FOOD")</f>
        <v xml:space="preserve">          5059 - PURCHASES @ COST-FOOD</v>
      </c>
      <c r="C17" s="22"/>
      <c r="D17" s="2"/>
      <c r="E17" s="2">
        <v>-11739</v>
      </c>
      <c r="F17" s="2">
        <v>-479.8</v>
      </c>
      <c r="G17" s="2">
        <v>-268.56</v>
      </c>
      <c r="H17" s="2">
        <v>2704.72</v>
      </c>
      <c r="I17" s="2">
        <v>5955.56</v>
      </c>
      <c r="J17" s="2"/>
      <c r="K17" s="2"/>
      <c r="L17" s="2"/>
      <c r="M17" s="2"/>
      <c r="N17" s="2"/>
      <c r="O17" s="2"/>
      <c r="Q17" s="2">
        <f>SUM(OSRRefD14_2x)+IFERROR(SUM(OSRRefE14_2x),0)</f>
        <v>-3827.079999999999</v>
      </c>
    </row>
    <row r="18" spans="1:17" x14ac:dyDescent="0.3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">
      <c r="A19" s="6"/>
      <c r="B19" s="17" t="s">
        <v>105</v>
      </c>
      <c r="C19" s="17"/>
      <c r="D19" s="7">
        <f t="shared" ref="D19:O19" si="1">IFERROR(+D10-D14, 0)</f>
        <v>0</v>
      </c>
      <c r="E19" s="7">
        <f t="shared" si="1"/>
        <v>3333.2300000000005</v>
      </c>
      <c r="F19" s="7">
        <f t="shared" si="1"/>
        <v>8213.64</v>
      </c>
      <c r="G19" s="7">
        <f t="shared" si="1"/>
        <v>12966.959999999995</v>
      </c>
      <c r="H19" s="7">
        <f t="shared" si="1"/>
        <v>8673.66</v>
      </c>
      <c r="I19" s="7">
        <f t="shared" si="1"/>
        <v>4694.18</v>
      </c>
      <c r="J19" s="7">
        <f t="shared" si="1"/>
        <v>12667</v>
      </c>
      <c r="K19" s="7">
        <f t="shared" si="1"/>
        <v>34057</v>
      </c>
      <c r="L19" s="7">
        <f t="shared" si="1"/>
        <v>32946</v>
      </c>
      <c r="M19" s="7">
        <f t="shared" si="1"/>
        <v>30159</v>
      </c>
      <c r="N19" s="7">
        <f t="shared" si="1"/>
        <v>14689</v>
      </c>
      <c r="O19" s="7">
        <f t="shared" si="1"/>
        <v>4713</v>
      </c>
      <c r="Q19" s="7">
        <f>IFERROR(+Q10-Q14, 0)</f>
        <v>167112.67000000001</v>
      </c>
    </row>
    <row r="20" spans="1:17" s="6" customFormat="1" x14ac:dyDescent="0.3">
      <c r="B20" s="16"/>
      <c r="C20" s="16"/>
      <c r="D20" s="4">
        <f t="shared" ref="D20:O20" si="2">IFERROR(D19/D10, 0)</f>
        <v>0</v>
      </c>
      <c r="E20" s="4">
        <f t="shared" si="2"/>
        <v>0.51007453950318227</v>
      </c>
      <c r="F20" s="4">
        <f t="shared" si="2"/>
        <v>0.51003219044023407</v>
      </c>
      <c r="G20" s="4">
        <f t="shared" si="2"/>
        <v>0.50999782895295742</v>
      </c>
      <c r="H20" s="4">
        <f t="shared" si="2"/>
        <v>0.56925582994899204</v>
      </c>
      <c r="I20" s="4">
        <f t="shared" si="2"/>
        <v>0.37833498690708095</v>
      </c>
      <c r="J20" s="4">
        <f t="shared" si="2"/>
        <v>0.51000523412650478</v>
      </c>
      <c r="K20" s="4">
        <f t="shared" si="2"/>
        <v>0.50752563185503097</v>
      </c>
      <c r="L20" s="4">
        <f t="shared" si="2"/>
        <v>0.51</v>
      </c>
      <c r="M20" s="4">
        <f t="shared" si="2"/>
        <v>0.51000253656886785</v>
      </c>
      <c r="N20" s="4">
        <f t="shared" si="2"/>
        <v>0.50999930560377749</v>
      </c>
      <c r="O20" s="4">
        <f t="shared" si="2"/>
        <v>0.51000973920571369</v>
      </c>
      <c r="P20" s="18"/>
      <c r="Q20" s="4">
        <f>IFERROR(Q19/Q10, 0)</f>
        <v>0.50728165669574077</v>
      </c>
    </row>
    <row r="21" spans="1:17" x14ac:dyDescent="0.3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">
      <c r="A22" s="6"/>
      <c r="B22" s="16" t="s">
        <v>255</v>
      </c>
      <c r="C22" s="6"/>
      <c r="D22" s="12">
        <f>SUM(OSRRefD20x_0)</f>
        <v>10022.300000000001</v>
      </c>
      <c r="E22" s="12">
        <f>SUM(OSRRefD20x_1)</f>
        <v>24826.399999999998</v>
      </c>
      <c r="F22" s="12">
        <f>SUM(OSRRefD20x_2)</f>
        <v>16137.500000000002</v>
      </c>
      <c r="G22" s="12">
        <f>SUM(OSRRefD20x_3)</f>
        <v>17988.28</v>
      </c>
      <c r="H22" s="12">
        <f>SUM(OSRRefD20x_4)</f>
        <v>14854.970000000001</v>
      </c>
      <c r="I22" s="12">
        <f>SUM(OSRRefD20x_5)</f>
        <v>15752.84</v>
      </c>
      <c r="J22" s="12">
        <f>SUM(OSRRefE20x_0)</f>
        <v>26698.689544384615</v>
      </c>
      <c r="K22" s="12">
        <f>SUM(OSRRefE20x_1)</f>
        <v>33598.065348307689</v>
      </c>
      <c r="L22" s="12">
        <f>SUM(OSRRefE20x_2)</f>
        <v>31608.40856380769</v>
      </c>
      <c r="M22" s="12">
        <f>SUM(OSRRefE20x_3)</f>
        <v>34166.942968384617</v>
      </c>
      <c r="N22" s="12">
        <f>SUM(OSRRefE20x_4)</f>
        <v>27538.611335057692</v>
      </c>
      <c r="O22" s="12">
        <f>SUM(OSRRefE20x_5)</f>
        <v>23660.092781807689</v>
      </c>
      <c r="Q22" s="12">
        <f>SUM(OSRRefG20x)</f>
        <v>276853.10054174997</v>
      </c>
    </row>
    <row r="23" spans="1:17" s="35" customFormat="1" collapsed="1" x14ac:dyDescent="0.3">
      <c r="A23" s="34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0</v>
      </c>
      <c r="E23" s="1">
        <f>SUM(OSRRefD21_0x_1)</f>
        <v>199.45000000000002</v>
      </c>
      <c r="F23" s="1">
        <f>SUM(OSRRefD21_0x_2)</f>
        <v>259.75000000000006</v>
      </c>
      <c r="G23" s="1">
        <f>SUM(OSRRefD21_0x_3)</f>
        <v>540.71</v>
      </c>
      <c r="H23" s="1">
        <f>SUM(OSRRefD21_0x_4)</f>
        <v>261.38</v>
      </c>
      <c r="I23" s="1">
        <f>SUM(OSRRefD21_0x_5)</f>
        <v>303.02999999999997</v>
      </c>
      <c r="J23" s="1">
        <f>SUM(OSRRefE21_0x_0)</f>
        <v>4169.3226059230765</v>
      </c>
      <c r="K23" s="1">
        <f>SUM(OSRRefE21_0x_1)</f>
        <v>4262.8589175384604</v>
      </c>
      <c r="L23" s="1">
        <f>SUM(OSRRefE21_0x_2)</f>
        <v>4196.6330330384617</v>
      </c>
      <c r="M23" s="1">
        <f>SUM(OSRRefE21_0x_3)</f>
        <v>4652.0030299230775</v>
      </c>
      <c r="N23" s="1">
        <f>SUM(OSRRefE21_0x_4)</f>
        <v>3959.9879542884605</v>
      </c>
      <c r="O23" s="1">
        <f>SUM(OSRRefE21_0x_5)</f>
        <v>3825.6398510384606</v>
      </c>
      <c r="Q23" s="2">
        <f>SUM(OSRRefD20_0x)+IFERROR(SUM(OSRRefE20_0x),0)</f>
        <v>26630.765391749996</v>
      </c>
    </row>
    <row r="24" spans="1:17" s="35" customFormat="1" hidden="1" outlineLevel="1" x14ac:dyDescent="0.3">
      <c r="A24" s="34"/>
      <c r="B24" s="10" t="str">
        <f>CONCATENATE("          ","6111", " - ","F.I.C.A.")</f>
        <v xml:space="preserve">          6111 - F.I.C.A.</v>
      </c>
      <c r="C24" s="14"/>
      <c r="D24" s="2"/>
      <c r="E24" s="2">
        <v>161.21</v>
      </c>
      <c r="F24" s="2">
        <v>163.55000000000001</v>
      </c>
      <c r="G24" s="2">
        <v>359.05</v>
      </c>
      <c r="H24" s="2">
        <v>174.68</v>
      </c>
      <c r="I24" s="2">
        <v>209.7</v>
      </c>
      <c r="J24" s="2">
        <v>523.705975153846</v>
      </c>
      <c r="K24" s="2">
        <v>530.98633292307704</v>
      </c>
      <c r="L24" s="2">
        <v>515.01834842307699</v>
      </c>
      <c r="M24" s="2">
        <v>641.62339915384598</v>
      </c>
      <c r="N24" s="2">
        <v>481.239919673077</v>
      </c>
      <c r="O24" s="2">
        <v>480.62576642307698</v>
      </c>
      <c r="P24" s="9"/>
      <c r="Q24" s="2">
        <f>SUM(OSRRefD21_0_0x)+IFERROR(SUM(OSRRefE21_0_0x),0)</f>
        <v>4241.3897417500002</v>
      </c>
    </row>
    <row r="25" spans="1:17" s="35" customFormat="1" hidden="1" outlineLevel="1" x14ac:dyDescent="0.3">
      <c r="A25" s="34"/>
      <c r="B25" s="10" t="str">
        <f>CONCATENATE("          ","6112", " - ","COMPENSATION INSURANCE")</f>
        <v xml:space="preserve">          6112 - COMPENSATION INSURANCE</v>
      </c>
      <c r="C25" s="14"/>
      <c r="D25" s="2"/>
      <c r="E25" s="2">
        <v>32.53</v>
      </c>
      <c r="F25" s="2">
        <v>83.23</v>
      </c>
      <c r="G25" s="2">
        <v>120.49</v>
      </c>
      <c r="H25" s="2">
        <v>56.73</v>
      </c>
      <c r="I25" s="2">
        <v>62.37</v>
      </c>
      <c r="J25" s="2">
        <v>414.91654723076903</v>
      </c>
      <c r="K25" s="2">
        <v>559.32201938461503</v>
      </c>
      <c r="L25" s="2">
        <v>532.11095638461597</v>
      </c>
      <c r="M25" s="2">
        <v>612.40965723076897</v>
      </c>
      <c r="N25" s="2">
        <v>422.27315588461499</v>
      </c>
      <c r="O25" s="2">
        <v>349.86577438461501</v>
      </c>
      <c r="P25" s="9"/>
      <c r="Q25" s="2">
        <f>SUM(OSRRefD21_0_1x)+IFERROR(SUM(OSRRefE21_0_1x),0)</f>
        <v>3246.2481104999988</v>
      </c>
    </row>
    <row r="26" spans="1:17" s="35" customFormat="1" hidden="1" outlineLevel="1" x14ac:dyDescent="0.3">
      <c r="A26" s="34"/>
      <c r="B26" s="10" t="str">
        <f>CONCATENATE("          ","6113", " - ","GROUP INSURANCE")</f>
        <v xml:space="preserve">          6113 - GROUP INSURANCE</v>
      </c>
      <c r="C26" s="14"/>
      <c r="D26" s="2"/>
      <c r="E26" s="2"/>
      <c r="F26" s="2"/>
      <c r="G26" s="2"/>
      <c r="H26" s="2"/>
      <c r="I26" s="2"/>
      <c r="J26" s="2">
        <v>1977</v>
      </c>
      <c r="K26" s="2">
        <v>1977</v>
      </c>
      <c r="L26" s="2">
        <v>1977</v>
      </c>
      <c r="M26" s="2">
        <v>1977</v>
      </c>
      <c r="N26" s="2">
        <v>1977</v>
      </c>
      <c r="O26" s="2">
        <v>1977</v>
      </c>
      <c r="P26" s="9"/>
      <c r="Q26" s="2">
        <f>SUM(OSRRefD21_0_2x)+IFERROR(SUM(OSRRefE21_0_2x),0)</f>
        <v>11862</v>
      </c>
    </row>
    <row r="27" spans="1:17" s="35" customFormat="1" hidden="1" outlineLevel="1" x14ac:dyDescent="0.3">
      <c r="A27" s="34"/>
      <c r="B27" s="10" t="str">
        <f>CONCATENATE("          ","6114", " - ","STATE UNEMPLOYMENT INSURANCE")</f>
        <v xml:space="preserve">          6114 - STATE UNEMPLOYMENT INSURANCE</v>
      </c>
      <c r="C27" s="14"/>
      <c r="D27" s="2"/>
      <c r="E27" s="2">
        <v>5.71</v>
      </c>
      <c r="F27" s="2">
        <v>12.97</v>
      </c>
      <c r="G27" s="2">
        <v>21.17</v>
      </c>
      <c r="H27" s="2">
        <v>9.9700000000000006</v>
      </c>
      <c r="I27" s="2">
        <v>10.96</v>
      </c>
      <c r="J27" s="2">
        <v>22.9900989230769</v>
      </c>
      <c r="K27" s="2">
        <v>30.9914575384615</v>
      </c>
      <c r="L27" s="2">
        <v>29.483720538461501</v>
      </c>
      <c r="M27" s="2">
        <v>33.932988923076898</v>
      </c>
      <c r="N27" s="2">
        <v>23.397721038461501</v>
      </c>
      <c r="O27" s="2">
        <v>19.385702538461501</v>
      </c>
      <c r="P27" s="9"/>
      <c r="Q27" s="2">
        <f>SUM(OSRRefD21_0_3x)+IFERROR(SUM(OSRRefE21_0_3x),0)</f>
        <v>220.96168949999978</v>
      </c>
    </row>
    <row r="28" spans="1:17" s="35" customFormat="1" hidden="1" outlineLevel="1" x14ac:dyDescent="0.3">
      <c r="A28" s="34"/>
      <c r="B28" s="10" t="str">
        <f>CONCATENATE("          ","6115", " - ","P.E.R.S.")</f>
        <v xml:space="preserve">          6115 - P.E.R.S.</v>
      </c>
      <c r="C28" s="14"/>
      <c r="D28" s="2"/>
      <c r="E28" s="2"/>
      <c r="F28" s="2"/>
      <c r="G28" s="2"/>
      <c r="H28" s="2"/>
      <c r="I28" s="2"/>
      <c r="J28" s="2">
        <v>497.41076923076901</v>
      </c>
      <c r="K28" s="2">
        <v>397.928615384615</v>
      </c>
      <c r="L28" s="2">
        <v>397.928615384615</v>
      </c>
      <c r="M28" s="2">
        <v>497.41076923076901</v>
      </c>
      <c r="N28" s="2">
        <v>397.928615384615</v>
      </c>
      <c r="O28" s="2">
        <v>397.928615384615</v>
      </c>
      <c r="P28" s="9"/>
      <c r="Q28" s="2">
        <f>SUM(OSRRefD21_0_4x)+IFERROR(SUM(OSRRefE21_0_4x),0)</f>
        <v>2586.5359999999982</v>
      </c>
    </row>
    <row r="29" spans="1:17" s="35" customFormat="1" hidden="1" outlineLevel="1" x14ac:dyDescent="0.3">
      <c r="A29" s="34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3">
      <c r="A30" s="34"/>
      <c r="B30" s="10" t="str">
        <f>CONCATENATE("          ","6118", " - ","VACATION")</f>
        <v xml:space="preserve">          6118 - VACATION</v>
      </c>
      <c r="C30" s="14"/>
      <c r="D30" s="2"/>
      <c r="E30" s="2"/>
      <c r="F30" s="2"/>
      <c r="G30" s="2"/>
      <c r="H30" s="2"/>
      <c r="I30" s="2"/>
      <c r="J30" s="2">
        <v>289.19230769230802</v>
      </c>
      <c r="K30" s="2">
        <v>231.35384615384601</v>
      </c>
      <c r="L30" s="2">
        <v>231.35384615384601</v>
      </c>
      <c r="M30" s="2">
        <v>289.19230769230802</v>
      </c>
      <c r="N30" s="2">
        <v>231.35384615384601</v>
      </c>
      <c r="O30" s="2">
        <v>231.35384615384601</v>
      </c>
      <c r="P30" s="9"/>
      <c r="Q30" s="2">
        <f>SUM(OSRRefD21_0_6x)+IFERROR(SUM(OSRRefE21_0_6x),0)</f>
        <v>1503.8000000000002</v>
      </c>
    </row>
    <row r="31" spans="1:17" s="35" customFormat="1" hidden="1" outlineLevel="1" x14ac:dyDescent="0.3">
      <c r="A31" s="34"/>
      <c r="B31" s="10" t="str">
        <f>CONCATENATE("          ","6119", " - ","SICK LEAVE")</f>
        <v xml:space="preserve">          6119 - SICK LEAVE</v>
      </c>
      <c r="C31" s="14"/>
      <c r="D31" s="2"/>
      <c r="E31" s="2"/>
      <c r="F31" s="2"/>
      <c r="G31" s="2"/>
      <c r="H31" s="2"/>
      <c r="I31" s="2"/>
      <c r="J31" s="2">
        <v>444.10690769230803</v>
      </c>
      <c r="K31" s="2">
        <v>535.27664615384595</v>
      </c>
      <c r="L31" s="2">
        <v>513.73754615384598</v>
      </c>
      <c r="M31" s="2">
        <v>600.43390769230803</v>
      </c>
      <c r="N31" s="2">
        <v>426.79469615384602</v>
      </c>
      <c r="O31" s="2">
        <v>369.48014615384602</v>
      </c>
      <c r="P31" s="9"/>
      <c r="Q31" s="2">
        <f>SUM(OSRRefD21_0_7x)+IFERROR(SUM(OSRRefE21_0_7x),0)</f>
        <v>2889.8298499999996</v>
      </c>
    </row>
    <row r="32" spans="1:17" s="35" customFormat="1" hidden="1" outlineLevel="1" x14ac:dyDescent="0.3">
      <c r="A32" s="34"/>
      <c r="B32" s="10" t="str">
        <f>CONCATENATE("          ","6156", " - ","EMPLOYEE MEALS")</f>
        <v xml:space="preserve">          6156 - EMPLOYEE MEALS</v>
      </c>
      <c r="C32" s="14"/>
      <c r="D32" s="2"/>
      <c r="E32" s="2"/>
      <c r="F32" s="2"/>
      <c r="G32" s="2">
        <v>40</v>
      </c>
      <c r="H32" s="2">
        <v>20</v>
      </c>
      <c r="I32" s="2">
        <v>20</v>
      </c>
      <c r="J32" s="2"/>
      <c r="K32" s="2"/>
      <c r="L32" s="2"/>
      <c r="M32" s="2"/>
      <c r="N32" s="2"/>
      <c r="O32" s="2"/>
      <c r="P32" s="9"/>
      <c r="Q32" s="2">
        <f>SUM(OSRRefD21_0_8x)+IFERROR(SUM(OSRRefE21_0_8x),0)</f>
        <v>80</v>
      </c>
    </row>
    <row r="33" spans="1:17" s="35" customFormat="1" collapsed="1" x14ac:dyDescent="0.3">
      <c r="A33" s="34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0</v>
      </c>
      <c r="E33" s="1">
        <f>SUM(OSRRefD21_1x_1)</f>
        <v>3536.3599999999997</v>
      </c>
      <c r="F33" s="1">
        <f>SUM(OSRRefD21_1x_2)</f>
        <v>4434.13</v>
      </c>
      <c r="G33" s="1">
        <f>SUM(OSRRefD21_1x_3)</f>
        <v>6310.97</v>
      </c>
      <c r="H33" s="1">
        <f>SUM(OSRRefD21_1x_4)</f>
        <v>3719.33</v>
      </c>
      <c r="I33" s="1">
        <f>SUM(OSRRefD21_1x_5)</f>
        <v>3939.8999999999996</v>
      </c>
      <c r="J33" s="1">
        <f>SUM(OSRRefE21_1x_0)</f>
        <v>10214.366938461539</v>
      </c>
      <c r="K33" s="1">
        <f>SUM(OSRRefE21_1x_1)</f>
        <v>13991.206430769231</v>
      </c>
      <c r="L33" s="1">
        <f>SUM(OSRRefE21_1x_2)</f>
        <v>13294.77553076923</v>
      </c>
      <c r="M33" s="1">
        <f>SUM(OSRRefE21_1x_3)</f>
        <v>15268.939938461541</v>
      </c>
      <c r="N33" s="1">
        <f>SUM(OSRRefE21_1x_4)</f>
        <v>10483.62338076923</v>
      </c>
      <c r="O33" s="1">
        <f>SUM(OSRRefE21_1x_5)</f>
        <v>8630.4529307692301</v>
      </c>
      <c r="Q33" s="2">
        <f>SUM(OSRRefD20_1x)+IFERROR(SUM(OSRRefE20_1x),0)</f>
        <v>93824.05515</v>
      </c>
    </row>
    <row r="34" spans="1:17" s="35" customFormat="1" hidden="1" outlineLevel="1" x14ac:dyDescent="0.3">
      <c r="A34" s="34"/>
      <c r="B34" s="10" t="str">
        <f>CONCATENATE("          ","6001", " - ","ADMINISTRATIVE SALARIES")</f>
        <v xml:space="preserve">          6001 - ADMINISTRATIVE SALARIES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3">
      <c r="A35" s="34"/>
      <c r="B35" s="10" t="str">
        <f>CONCATENATE("          ","6002", " - ","STAFF SALARIES")</f>
        <v xml:space="preserve">          6002 - STAFF SALARIES</v>
      </c>
      <c r="C35" s="14"/>
      <c r="D35" s="2"/>
      <c r="E35" s="2"/>
      <c r="F35" s="2"/>
      <c r="G35" s="2"/>
      <c r="H35" s="2"/>
      <c r="I35" s="2"/>
      <c r="J35" s="2">
        <v>5205.4615384615399</v>
      </c>
      <c r="K35" s="2">
        <v>4164.3692307692299</v>
      </c>
      <c r="L35" s="2">
        <v>4164.3692307692299</v>
      </c>
      <c r="M35" s="2">
        <v>5205.4615384615399</v>
      </c>
      <c r="N35" s="2">
        <v>4164.3692307692299</v>
      </c>
      <c r="O35" s="2">
        <v>4164.3692307692299</v>
      </c>
      <c r="P35" s="9"/>
      <c r="Q35" s="2">
        <f>SUM(OSRRefD21_1_1x)+IFERROR(SUM(OSRRefE21_1_1x),0)</f>
        <v>27068.399999999998</v>
      </c>
    </row>
    <row r="36" spans="1:17" s="35" customFormat="1" hidden="1" outlineLevel="1" x14ac:dyDescent="0.3">
      <c r="A36" s="34"/>
      <c r="B36" s="10" t="str">
        <f>CONCATENATE("          ","6003", " - ","STAFF HOURLY-9 MONTH")</f>
        <v xml:space="preserve">          6003 - STAFF HOURLY-9 MONTH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3">
      <c r="A37" s="34"/>
      <c r="B37" s="10" t="str">
        <f>CONCATENATE("          ","6004", " - ","STAFF HOURLY")</f>
        <v xml:space="preserve">          6004 - STAFF HOURLY</v>
      </c>
      <c r="C37" s="14"/>
      <c r="D37" s="2"/>
      <c r="E37" s="2"/>
      <c r="F37" s="2"/>
      <c r="G37" s="2"/>
      <c r="H37" s="2"/>
      <c r="I37" s="2"/>
      <c r="J37" s="2">
        <v>1027.521</v>
      </c>
      <c r="K37" s="2">
        <v>2241.864</v>
      </c>
      <c r="L37" s="2">
        <v>2039.4735000000001</v>
      </c>
      <c r="M37" s="2">
        <v>2522.0970000000002</v>
      </c>
      <c r="N37" s="2">
        <v>1611.3397500000001</v>
      </c>
      <c r="O37" s="2">
        <v>1603.5554999999999</v>
      </c>
      <c r="P37" s="9"/>
      <c r="Q37" s="2">
        <f>SUM(OSRRefD21_1_3x)+IFERROR(SUM(OSRRefE21_1_3x),0)</f>
        <v>11045.85075</v>
      </c>
    </row>
    <row r="38" spans="1:17" s="35" customFormat="1" hidden="1" outlineLevel="1" x14ac:dyDescent="0.3">
      <c r="A38" s="34"/>
      <c r="B38" s="10" t="str">
        <f>CONCATENATE("          ","6005", " - ","TEMPORARY WAGES-HOURLY")</f>
        <v xml:space="preserve">          6005 - TEMPORARY WAGES-HOURLY</v>
      </c>
      <c r="C38" s="14"/>
      <c r="D38" s="2"/>
      <c r="E38" s="2">
        <v>1258.8</v>
      </c>
      <c r="F38" s="2">
        <v>2137.8000000000002</v>
      </c>
      <c r="G38" s="2">
        <v>4693.5</v>
      </c>
      <c r="H38" s="2">
        <v>2283.4499999999998</v>
      </c>
      <c r="I38" s="2">
        <v>2741.1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13114.65</v>
      </c>
    </row>
    <row r="39" spans="1:17" s="35" customFormat="1" hidden="1" outlineLevel="1" x14ac:dyDescent="0.3">
      <c r="A39" s="34"/>
      <c r="B39" s="10" t="str">
        <f>CONCATENATE("          ","6006", " - ","TEMPORARY PART TIME")</f>
        <v xml:space="preserve">          6006 - TEMPORARY PART TIME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3">
      <c r="A40" s="34"/>
      <c r="B40" s="10" t="str">
        <f>CONCATENATE("          ","6007", " - ","STUDENT HOURLY")</f>
        <v xml:space="preserve">          6007 - STUDENT HOURLY</v>
      </c>
      <c r="C40" s="14"/>
      <c r="D40" s="2"/>
      <c r="E40" s="2">
        <v>2277.56</v>
      </c>
      <c r="F40" s="2">
        <v>2296.33</v>
      </c>
      <c r="G40" s="2">
        <v>1617.47</v>
      </c>
      <c r="H40" s="2">
        <v>1435.88</v>
      </c>
      <c r="I40" s="2">
        <v>1198.8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8826.0399999999991</v>
      </c>
    </row>
    <row r="41" spans="1:17" s="35" customFormat="1" hidden="1" outlineLevel="1" x14ac:dyDescent="0.3">
      <c r="A41" s="34"/>
      <c r="B41" s="10" t="str">
        <f>CONCATENATE("          ","6008", " - ","STUDENT HOURLY-FICA EXEMPT")</f>
        <v xml:space="preserve">          6008 - STUDENT HOURLY-FICA EXEMPT</v>
      </c>
      <c r="C41" s="14"/>
      <c r="D41" s="2"/>
      <c r="E41" s="2"/>
      <c r="F41" s="2"/>
      <c r="G41" s="2"/>
      <c r="H41" s="2"/>
      <c r="I41" s="2"/>
      <c r="J41" s="2">
        <v>3981.3843999999999</v>
      </c>
      <c r="K41" s="2">
        <v>7584.9732000000004</v>
      </c>
      <c r="L41" s="2">
        <v>7090.9327999999996</v>
      </c>
      <c r="M41" s="2">
        <v>7541.3814000000002</v>
      </c>
      <c r="N41" s="2">
        <v>4707.9143999999997</v>
      </c>
      <c r="O41" s="2">
        <v>2862.5282000000002</v>
      </c>
      <c r="P41" s="9"/>
      <c r="Q41" s="2">
        <f>SUM(OSRRefD21_1_7x)+IFERROR(SUM(OSRRefE21_1_7x),0)</f>
        <v>33769.114399999999</v>
      </c>
    </row>
    <row r="42" spans="1:17" s="35" customFormat="1" hidden="1" outlineLevel="1" x14ac:dyDescent="0.3">
      <c r="A42" s="34"/>
      <c r="B42" s="10" t="str">
        <f>CONCATENATE("          ","6009", " - ","TEMPORARY-SEASONAL")</f>
        <v xml:space="preserve">          6009 - TEMPORARY-SEASONAL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3">
      <c r="A43" s="34"/>
      <c r="B43" s="10" t="str">
        <f>CONCATENATE("          ","6010", " - ","GRATUITY")</f>
        <v xml:space="preserve">          6010 - GRATUITY</v>
      </c>
      <c r="C43" s="14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3">
      <c r="A44" s="34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0</v>
      </c>
      <c r="E44" s="1">
        <f>SUM(OSRRefD21_2x_1)</f>
        <v>87.97</v>
      </c>
      <c r="F44" s="1">
        <f>SUM(OSRRefD21_2x_2)</f>
        <v>0</v>
      </c>
      <c r="G44" s="1">
        <f>SUM(OSRRefD21_2x_3)</f>
        <v>0</v>
      </c>
      <c r="H44" s="1">
        <f>SUM(OSRRefD21_2x_4)</f>
        <v>3.25</v>
      </c>
      <c r="I44" s="1">
        <f>SUM(OSRRefD21_2x_5)</f>
        <v>0</v>
      </c>
      <c r="J44" s="1">
        <f>SUM(OSRRefE21_2x_0)</f>
        <v>0</v>
      </c>
      <c r="K44" s="1">
        <f>SUM(OSRRefE21_2x_1)</f>
        <v>0</v>
      </c>
      <c r="L44" s="1">
        <f>SUM(OSRRefE21_2x_2)</f>
        <v>0</v>
      </c>
      <c r="M44" s="1">
        <f>SUM(OSRRefE21_2x_3)</f>
        <v>0</v>
      </c>
      <c r="N44" s="1">
        <f>SUM(OSRRefE21_2x_4)</f>
        <v>0</v>
      </c>
      <c r="O44" s="1">
        <f>SUM(OSRRefE21_2x_5)</f>
        <v>0</v>
      </c>
      <c r="Q44" s="2">
        <f>SUM(OSRRefD20_2x)+IFERROR(SUM(OSRRefE20_2x),0)</f>
        <v>91.22</v>
      </c>
    </row>
    <row r="45" spans="1:17" s="35" customFormat="1" hidden="1" outlineLevel="1" x14ac:dyDescent="0.3">
      <c r="A45" s="34"/>
      <c r="B45" s="10" t="str">
        <f>CONCATENATE("          ","6362", " - ","ADVERTISING EXPENSE")</f>
        <v xml:space="preserve">          6362 - ADVERTISING EXPENSE</v>
      </c>
      <c r="C45" s="14"/>
      <c r="D45" s="2"/>
      <c r="E45" s="2">
        <v>87.97</v>
      </c>
      <c r="F45" s="2"/>
      <c r="G45" s="2"/>
      <c r="H45" s="2">
        <v>3.25</v>
      </c>
      <c r="I45" s="2"/>
      <c r="J45" s="2"/>
      <c r="K45" s="2"/>
      <c r="L45" s="2"/>
      <c r="M45" s="2"/>
      <c r="N45" s="2"/>
      <c r="O45" s="2"/>
      <c r="P45" s="9"/>
      <c r="Q45" s="2">
        <f>SUM(OSRRefD21_2_0x)+IFERROR(SUM(OSRRefE21_2_0x),0)</f>
        <v>91.22</v>
      </c>
    </row>
    <row r="46" spans="1:17" s="35" customFormat="1" collapsed="1" x14ac:dyDescent="0.3">
      <c r="A46" s="34"/>
      <c r="B46" s="14" t="str">
        <f>CONCATENATE("     ","Bad Debts/Over/Short                              ")</f>
        <v xml:space="preserve">     Bad Debts/Over/Short                              </v>
      </c>
      <c r="C46" s="14"/>
      <c r="D46" s="1">
        <f>SUM(OSRRefD21_3x_0)</f>
        <v>0</v>
      </c>
      <c r="E46" s="1">
        <f>SUM(OSRRefD21_3x_1)</f>
        <v>-1.3</v>
      </c>
      <c r="F46" s="1">
        <f>SUM(OSRRefD21_3x_2)</f>
        <v>15.79</v>
      </c>
      <c r="G46" s="1">
        <f>SUM(OSRRefD21_3x_3)</f>
        <v>-7.31</v>
      </c>
      <c r="H46" s="1">
        <f>SUM(OSRRefD21_3x_4)</f>
        <v>2.06</v>
      </c>
      <c r="I46" s="1">
        <f>SUM(OSRRefD21_3x_5)</f>
        <v>19.600000000000001</v>
      </c>
      <c r="J46" s="1">
        <f>SUM(OSRRefE21_3x_0)</f>
        <v>0</v>
      </c>
      <c r="K46" s="1">
        <f>SUM(OSRRefE21_3x_1)</f>
        <v>0</v>
      </c>
      <c r="L46" s="1">
        <f>SUM(OSRRefE21_3x_2)</f>
        <v>0</v>
      </c>
      <c r="M46" s="1">
        <f>SUM(OSRRefE21_3x_3)</f>
        <v>0</v>
      </c>
      <c r="N46" s="1">
        <f>SUM(OSRRefE21_3x_4)</f>
        <v>0</v>
      </c>
      <c r="O46" s="1">
        <f>SUM(OSRRefE21_3x_5)</f>
        <v>0</v>
      </c>
      <c r="Q46" s="2">
        <f>SUM(OSRRefD20_3x)+IFERROR(SUM(OSRRefE20_3x),0)</f>
        <v>28.84</v>
      </c>
    </row>
    <row r="47" spans="1:17" s="35" customFormat="1" hidden="1" outlineLevel="1" x14ac:dyDescent="0.3">
      <c r="A47" s="34"/>
      <c r="B47" s="10" t="str">
        <f>CONCATENATE("          ","6272", " - ","CASH (OVER/SHORT)")</f>
        <v xml:space="preserve">          6272 - CASH (OVER/SHORT)</v>
      </c>
      <c r="C47" s="14"/>
      <c r="D47" s="2"/>
      <c r="E47" s="2">
        <v>-1.3</v>
      </c>
      <c r="F47" s="2">
        <v>15.79</v>
      </c>
      <c r="G47" s="2">
        <v>-7.31</v>
      </c>
      <c r="H47" s="2">
        <v>2.06</v>
      </c>
      <c r="I47" s="2">
        <v>19.600000000000001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/>
      <c r="P47" s="9"/>
      <c r="Q47" s="2">
        <f>SUM(OSRRefD21_3_0x)+IFERROR(SUM(OSRRefE21_3_0x),0)</f>
        <v>28.84</v>
      </c>
    </row>
    <row r="48" spans="1:17" s="35" customFormat="1" collapsed="1" x14ac:dyDescent="0.3">
      <c r="A48" s="34"/>
      <c r="B48" s="14" t="str">
        <f>CONCATENATE("     ","Bank/card Fees                                    ")</f>
        <v xml:space="preserve">     Bank/card Fees                                    </v>
      </c>
      <c r="C48" s="14"/>
      <c r="D48" s="1">
        <f>SUM(OSRRefD21_4x_0)</f>
        <v>0.34</v>
      </c>
      <c r="E48" s="1">
        <f>SUM(OSRRefD21_4x_1)</f>
        <v>319.22000000000003</v>
      </c>
      <c r="F48" s="1">
        <f>SUM(OSRRefD21_4x_2)</f>
        <v>769.35</v>
      </c>
      <c r="G48" s="1">
        <f>SUM(OSRRefD21_4x_3)</f>
        <v>912.88</v>
      </c>
      <c r="H48" s="1">
        <f>SUM(OSRRefD21_4x_4)</f>
        <v>646.41</v>
      </c>
      <c r="I48" s="1">
        <f>SUM(OSRRefD21_4x_5)</f>
        <v>529.78</v>
      </c>
      <c r="J48" s="1">
        <f>SUM(OSRRefE21_4x_0)</f>
        <v>1166</v>
      </c>
      <c r="K48" s="1">
        <f>SUM(OSRRefE21_4x_1)</f>
        <v>3345</v>
      </c>
      <c r="L48" s="1">
        <f>SUM(OSRRefE21_4x_2)</f>
        <v>3218</v>
      </c>
      <c r="M48" s="1">
        <f>SUM(OSRRefE21_4x_3)</f>
        <v>3197</v>
      </c>
      <c r="N48" s="1">
        <f>SUM(OSRRefE21_4x_4)</f>
        <v>2291</v>
      </c>
      <c r="O48" s="1">
        <f>SUM(OSRRefE21_4x_5)</f>
        <v>550</v>
      </c>
      <c r="Q48" s="2">
        <f>SUM(OSRRefD20_4x)+IFERROR(SUM(OSRRefE20_4x),0)</f>
        <v>16944.98</v>
      </c>
    </row>
    <row r="49" spans="1:17" s="35" customFormat="1" hidden="1" outlineLevel="1" x14ac:dyDescent="0.3">
      <c r="A49" s="34"/>
      <c r="B49" s="10" t="str">
        <f>CONCATENATE("          ","6381", " - ","BANK/CREDIT CARD FEES")</f>
        <v xml:space="preserve">          6381 - BANK/CREDIT CARD FEES</v>
      </c>
      <c r="C49" s="14"/>
      <c r="D49" s="2">
        <v>0.34</v>
      </c>
      <c r="E49" s="2">
        <v>319.22000000000003</v>
      </c>
      <c r="F49" s="2">
        <v>769.35</v>
      </c>
      <c r="G49" s="2">
        <v>912.88</v>
      </c>
      <c r="H49" s="2">
        <v>646.41</v>
      </c>
      <c r="I49" s="2">
        <v>529.78</v>
      </c>
      <c r="J49" s="2">
        <v>1166</v>
      </c>
      <c r="K49" s="2">
        <v>3345</v>
      </c>
      <c r="L49" s="2">
        <v>3218</v>
      </c>
      <c r="M49" s="2">
        <v>3197</v>
      </c>
      <c r="N49" s="2">
        <v>2291</v>
      </c>
      <c r="O49" s="2">
        <v>550</v>
      </c>
      <c r="P49" s="9"/>
      <c r="Q49" s="2">
        <f>SUM(OSRRefD21_4_0x)+IFERROR(SUM(OSRRefE21_4_0x),0)</f>
        <v>16944.98</v>
      </c>
    </row>
    <row r="50" spans="1:17" s="35" customFormat="1" collapsed="1" x14ac:dyDescent="0.3">
      <c r="A50" s="34"/>
      <c r="B50" s="14" t="str">
        <f>CONCATENATE("     ","Depreciation                                      ")</f>
        <v xml:space="preserve">     Depreciation                                      </v>
      </c>
      <c r="C50" s="14"/>
      <c r="D50" s="1">
        <f>SUM(OSRRefD21_5x_0)</f>
        <v>5471.21</v>
      </c>
      <c r="E50" s="1">
        <f>SUM(OSRRefD21_5x_1)</f>
        <v>5471.21</v>
      </c>
      <c r="F50" s="1">
        <f>SUM(OSRRefD21_5x_2)</f>
        <v>5471.21</v>
      </c>
      <c r="G50" s="1">
        <f>SUM(OSRRefD21_5x_3)</f>
        <v>5471.21</v>
      </c>
      <c r="H50" s="1">
        <f>SUM(OSRRefD21_5x_4)</f>
        <v>5471.21</v>
      </c>
      <c r="I50" s="1">
        <f>SUM(OSRRefD21_5x_5)</f>
        <v>5471.21</v>
      </c>
      <c r="J50" s="1">
        <f>SUM(OSRRefE21_5x_0)</f>
        <v>5471</v>
      </c>
      <c r="K50" s="1">
        <f>SUM(OSRRefE21_5x_1)</f>
        <v>5471</v>
      </c>
      <c r="L50" s="1">
        <f>SUM(OSRRefE21_5x_2)</f>
        <v>5471</v>
      </c>
      <c r="M50" s="1">
        <f>SUM(OSRRefE21_5x_3)</f>
        <v>5471</v>
      </c>
      <c r="N50" s="1">
        <f>SUM(OSRRefE21_5x_4)</f>
        <v>5471</v>
      </c>
      <c r="O50" s="1">
        <f>SUM(OSRRefE21_5x_5)</f>
        <v>5471</v>
      </c>
      <c r="Q50" s="2">
        <f>SUM(OSRRefD20_5x)+IFERROR(SUM(OSRRefE20_5x),0)</f>
        <v>65653.260000000009</v>
      </c>
    </row>
    <row r="51" spans="1:17" s="35" customFormat="1" hidden="1" outlineLevel="1" x14ac:dyDescent="0.3">
      <c r="A51" s="34"/>
      <c r="B51" s="10" t="str">
        <f>CONCATENATE("          ","6321", " - ","BUILDING DEPRECIATION")</f>
        <v xml:space="preserve">          6321 - BUILDING DEPRECIATION</v>
      </c>
      <c r="C51" s="14"/>
      <c r="D51" s="2">
        <v>5080.51</v>
      </c>
      <c r="E51" s="2">
        <v>5080.51</v>
      </c>
      <c r="F51" s="2">
        <v>5080.51</v>
      </c>
      <c r="G51" s="2">
        <v>5080.51</v>
      </c>
      <c r="H51" s="2">
        <v>5080.51</v>
      </c>
      <c r="I51" s="2">
        <v>5080.51</v>
      </c>
      <c r="J51" s="2"/>
      <c r="K51" s="2"/>
      <c r="L51" s="2"/>
      <c r="M51" s="2"/>
      <c r="N51" s="2"/>
      <c r="O51" s="2"/>
      <c r="P51" s="9"/>
      <c r="Q51" s="2">
        <f>SUM(OSRRefD21_5_0x)+IFERROR(SUM(OSRRefE21_5_0x),0)</f>
        <v>30483.060000000005</v>
      </c>
    </row>
    <row r="52" spans="1:17" s="35" customFormat="1" hidden="1" outlineLevel="1" x14ac:dyDescent="0.3">
      <c r="A52" s="34"/>
      <c r="B52" s="10" t="str">
        <f>CONCATENATE("          ","6322", " - ","EQUIPMENT DEPRECIATION EXPENSE")</f>
        <v xml:space="preserve">          6322 - EQUIPMENT DEPRECIATION EXPENSE</v>
      </c>
      <c r="C52" s="14"/>
      <c r="D52" s="2">
        <v>390.7</v>
      </c>
      <c r="E52" s="2">
        <v>390.7</v>
      </c>
      <c r="F52" s="2">
        <v>390.7</v>
      </c>
      <c r="G52" s="2">
        <v>390.7</v>
      </c>
      <c r="H52" s="2">
        <v>390.7</v>
      </c>
      <c r="I52" s="2">
        <v>390.7</v>
      </c>
      <c r="J52" s="2">
        <v>5471</v>
      </c>
      <c r="K52" s="2">
        <v>5471</v>
      </c>
      <c r="L52" s="2">
        <v>5471</v>
      </c>
      <c r="M52" s="2">
        <v>5471</v>
      </c>
      <c r="N52" s="2">
        <v>5471</v>
      </c>
      <c r="O52" s="2">
        <v>5471</v>
      </c>
      <c r="P52" s="9"/>
      <c r="Q52" s="2">
        <f>SUM(OSRRefD21_5_1x)+IFERROR(SUM(OSRRefE21_5_1x),0)</f>
        <v>35170.199999999997</v>
      </c>
    </row>
    <row r="53" spans="1:17" s="35" customFormat="1" collapsed="1" x14ac:dyDescent="0.3">
      <c r="A53" s="34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SUM(OSRRefD21_6x_0)</f>
        <v>0</v>
      </c>
      <c r="E53" s="1">
        <f>SUM(OSRRefD21_6x_1)</f>
        <v>0</v>
      </c>
      <c r="F53" s="1">
        <f>SUM(OSRRefD21_6x_2)</f>
        <v>0</v>
      </c>
      <c r="G53" s="1">
        <f>SUM(OSRRefD21_6x_3)</f>
        <v>0</v>
      </c>
      <c r="H53" s="1">
        <f>SUM(OSRRefD21_6x_4)</f>
        <v>0</v>
      </c>
      <c r="I53" s="1">
        <f>SUM(OSRRefD21_6x_5)</f>
        <v>0</v>
      </c>
      <c r="J53" s="1">
        <f>SUM(OSRRefE21_6x_0)</f>
        <v>0</v>
      </c>
      <c r="K53" s="1">
        <f>SUM(OSRRefE21_6x_1)</f>
        <v>0</v>
      </c>
      <c r="L53" s="1">
        <f>SUM(OSRRefE21_6x_2)</f>
        <v>0</v>
      </c>
      <c r="M53" s="1">
        <f>SUM(OSRRefE21_6x_3)</f>
        <v>0</v>
      </c>
      <c r="N53" s="1">
        <f>SUM(OSRRefE21_6x_4)</f>
        <v>50</v>
      </c>
      <c r="O53" s="1">
        <f>SUM(OSRRefE21_6x_5)</f>
        <v>0</v>
      </c>
      <c r="Q53" s="2">
        <f>SUM(OSRRefD20_6x)+IFERROR(SUM(OSRRefE20_6x),0)</f>
        <v>50</v>
      </c>
    </row>
    <row r="54" spans="1:17" s="35" customFormat="1" hidden="1" outlineLevel="1" x14ac:dyDescent="0.3">
      <c r="A54" s="34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50</v>
      </c>
      <c r="O54" s="2"/>
      <c r="P54" s="9"/>
      <c r="Q54" s="2">
        <f>SUM(OSRRefD21_6_0x)+IFERROR(SUM(OSRRefE21_6_0x),0)</f>
        <v>50</v>
      </c>
    </row>
    <row r="55" spans="1:17" s="35" customFormat="1" collapsed="1" x14ac:dyDescent="0.3">
      <c r="A55" s="34"/>
      <c r="B55" s="14" t="str">
        <f>CONCATENATE("     ","Equipment Rental                                  ")</f>
        <v xml:space="preserve">     Equipment Rental                                  </v>
      </c>
      <c r="C55" s="14"/>
      <c r="D55" s="1">
        <f>SUM(OSRRefD21_7x_0)</f>
        <v>0</v>
      </c>
      <c r="E55" s="1">
        <f>SUM(OSRRefD21_7x_1)</f>
        <v>0</v>
      </c>
      <c r="F55" s="1">
        <f>SUM(OSRRefD21_7x_2)</f>
        <v>0</v>
      </c>
      <c r="G55" s="1">
        <f>SUM(OSRRefD21_7x_3)</f>
        <v>0</v>
      </c>
      <c r="H55" s="1">
        <f>SUM(OSRRefD21_7x_4)</f>
        <v>0</v>
      </c>
      <c r="I55" s="1">
        <f>SUM(OSRRefD21_7x_5)</f>
        <v>0</v>
      </c>
      <c r="J55" s="1">
        <f>SUM(OSRRefE21_7x_0)</f>
        <v>176</v>
      </c>
      <c r="K55" s="1">
        <f>SUM(OSRRefE21_7x_1)</f>
        <v>176</v>
      </c>
      <c r="L55" s="1">
        <f>SUM(OSRRefE21_7x_2)</f>
        <v>176</v>
      </c>
      <c r="M55" s="1">
        <f>SUM(OSRRefE21_7x_3)</f>
        <v>176</v>
      </c>
      <c r="N55" s="1">
        <f>SUM(OSRRefE21_7x_4)</f>
        <v>176</v>
      </c>
      <c r="O55" s="1">
        <f>SUM(OSRRefE21_7x_5)</f>
        <v>176</v>
      </c>
      <c r="Q55" s="2">
        <f>SUM(OSRRefD20_7x)+IFERROR(SUM(OSRRefE20_7x),0)</f>
        <v>1056</v>
      </c>
    </row>
    <row r="56" spans="1:17" s="35" customFormat="1" hidden="1" outlineLevel="1" x14ac:dyDescent="0.3">
      <c r="A56" s="34"/>
      <c r="B56" s="10" t="str">
        <f>CONCATENATE("          ","6351", " - ","EQUIPMENT RENTAL")</f>
        <v xml:space="preserve">          6351 - EQUIPMENT RENTAL</v>
      </c>
      <c r="C56" s="14"/>
      <c r="D56" s="2"/>
      <c r="E56" s="2"/>
      <c r="F56" s="2"/>
      <c r="G56" s="2"/>
      <c r="H56" s="2"/>
      <c r="I56" s="2"/>
      <c r="J56" s="2">
        <v>176</v>
      </c>
      <c r="K56" s="2">
        <v>176</v>
      </c>
      <c r="L56" s="2">
        <v>176</v>
      </c>
      <c r="M56" s="2">
        <v>176</v>
      </c>
      <c r="N56" s="2">
        <v>176</v>
      </c>
      <c r="O56" s="2">
        <v>176</v>
      </c>
      <c r="P56" s="9"/>
      <c r="Q56" s="2">
        <f>SUM(OSRRefD21_7_0x)+IFERROR(SUM(OSRRefE21_7_0x),0)</f>
        <v>1056</v>
      </c>
    </row>
    <row r="57" spans="1:17" s="35" customFormat="1" collapsed="1" x14ac:dyDescent="0.3">
      <c r="A57" s="34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SUM(OSRRefD21_8x_0)</f>
        <v>0</v>
      </c>
      <c r="E57" s="1">
        <f>SUM(OSRRefD21_8x_1)</f>
        <v>842.45</v>
      </c>
      <c r="F57" s="1">
        <f>SUM(OSRRefD21_8x_2)</f>
        <v>0</v>
      </c>
      <c r="G57" s="1">
        <f>SUM(OSRRefD21_8x_3)</f>
        <v>0</v>
      </c>
      <c r="H57" s="1">
        <f>SUM(OSRRefD21_8x_4)</f>
        <v>0</v>
      </c>
      <c r="I57" s="1">
        <f>SUM(OSRRefD21_8x_5)</f>
        <v>160</v>
      </c>
      <c r="J57" s="1">
        <f>SUM(OSRRefE21_8x_0)</f>
        <v>0</v>
      </c>
      <c r="K57" s="1">
        <f>SUM(OSRRefE21_8x_1)</f>
        <v>0</v>
      </c>
      <c r="L57" s="1">
        <f>SUM(OSRRefE21_8x_2)</f>
        <v>0</v>
      </c>
      <c r="M57" s="1">
        <f>SUM(OSRRefE21_8x_3)</f>
        <v>0</v>
      </c>
      <c r="N57" s="1">
        <f>SUM(OSRRefE21_8x_4)</f>
        <v>0</v>
      </c>
      <c r="O57" s="1">
        <f>SUM(OSRRefE21_8x_5)</f>
        <v>0</v>
      </c>
      <c r="Q57" s="2">
        <f>SUM(OSRRefD20_8x)+IFERROR(SUM(OSRRefE20_8x),0)</f>
        <v>1002.45</v>
      </c>
    </row>
    <row r="58" spans="1:17" s="35" customFormat="1" hidden="1" outlineLevel="1" x14ac:dyDescent="0.3">
      <c r="A58" s="34"/>
      <c r="B58" s="10" t="str">
        <f>CONCATENATE("          ","6279", " - ","GENERAL EXPENSE")</f>
        <v xml:space="preserve">          6279 - GENERAL EXPENSE</v>
      </c>
      <c r="C58" s="14"/>
      <c r="D58" s="2"/>
      <c r="E58" s="2">
        <v>842.45</v>
      </c>
      <c r="F58" s="2"/>
      <c r="G58" s="2"/>
      <c r="H58" s="2"/>
      <c r="I58" s="2">
        <v>160</v>
      </c>
      <c r="J58" s="2"/>
      <c r="K58" s="2"/>
      <c r="L58" s="2"/>
      <c r="M58" s="2"/>
      <c r="N58" s="2"/>
      <c r="O58" s="2"/>
      <c r="P58" s="9"/>
      <c r="Q58" s="2">
        <f>SUM(OSRRefD21_8_0x)+IFERROR(SUM(OSRRefE21_8_0x),0)</f>
        <v>1002.45</v>
      </c>
    </row>
    <row r="59" spans="1:17" s="35" customFormat="1" collapsed="1" x14ac:dyDescent="0.3">
      <c r="A59" s="34"/>
      <c r="B59" s="14" t="str">
        <f>CONCATENATE("     ","Insurance                                         ")</f>
        <v xml:space="preserve">     Insurance                                         </v>
      </c>
      <c r="C59" s="14"/>
      <c r="D59" s="1">
        <f>SUM(OSRRefD21_9x_0)</f>
        <v>331.01</v>
      </c>
      <c r="E59" s="1">
        <f>SUM(OSRRefD21_9x_1)</f>
        <v>331.01</v>
      </c>
      <c r="F59" s="1">
        <f>SUM(OSRRefD21_9x_2)</f>
        <v>331.01</v>
      </c>
      <c r="G59" s="1">
        <f>SUM(OSRRefD21_9x_3)</f>
        <v>331.01</v>
      </c>
      <c r="H59" s="1">
        <f>SUM(OSRRefD21_9x_4)</f>
        <v>331.01</v>
      </c>
      <c r="I59" s="1">
        <f>SUM(OSRRefD21_9x_5)</f>
        <v>331.01</v>
      </c>
      <c r="J59" s="1">
        <f>SUM(OSRRefE21_9x_0)</f>
        <v>330</v>
      </c>
      <c r="K59" s="1">
        <f>SUM(OSRRefE21_9x_1)</f>
        <v>330</v>
      </c>
      <c r="L59" s="1">
        <f>SUM(OSRRefE21_9x_2)</f>
        <v>330</v>
      </c>
      <c r="M59" s="1">
        <f>SUM(OSRRefE21_9x_3)</f>
        <v>330</v>
      </c>
      <c r="N59" s="1">
        <f>SUM(OSRRefE21_9x_4)</f>
        <v>330</v>
      </c>
      <c r="O59" s="1">
        <f>SUM(OSRRefE21_9x_5)</f>
        <v>330</v>
      </c>
      <c r="Q59" s="2">
        <f>SUM(OSRRefD20_9x)+IFERROR(SUM(OSRRefE20_9x),0)</f>
        <v>3966.06</v>
      </c>
    </row>
    <row r="60" spans="1:17" s="35" customFormat="1" hidden="1" outlineLevel="1" x14ac:dyDescent="0.3">
      <c r="A60" s="34"/>
      <c r="B60" s="10" t="str">
        <f>CONCATENATE("          ","6314", " - ","LIABILITY INSURANCE")</f>
        <v xml:space="preserve">          6314 - LIABILITY INSURANCE</v>
      </c>
      <c r="C60" s="14"/>
      <c r="D60" s="2">
        <v>331.01</v>
      </c>
      <c r="E60" s="2">
        <v>331.01</v>
      </c>
      <c r="F60" s="2">
        <v>331.01</v>
      </c>
      <c r="G60" s="2">
        <v>331.01</v>
      </c>
      <c r="H60" s="2">
        <v>331.01</v>
      </c>
      <c r="I60" s="2">
        <v>331.01</v>
      </c>
      <c r="J60" s="2">
        <v>330</v>
      </c>
      <c r="K60" s="2">
        <v>330</v>
      </c>
      <c r="L60" s="2">
        <v>330</v>
      </c>
      <c r="M60" s="2">
        <v>330</v>
      </c>
      <c r="N60" s="2">
        <v>330</v>
      </c>
      <c r="O60" s="2">
        <v>330</v>
      </c>
      <c r="P60" s="9"/>
      <c r="Q60" s="2">
        <f>SUM(OSRRefD21_9_0x)+IFERROR(SUM(OSRRefE21_9_0x),0)</f>
        <v>3966.06</v>
      </c>
    </row>
    <row r="61" spans="1:17" s="35" customFormat="1" collapsed="1" x14ac:dyDescent="0.3">
      <c r="A61" s="34"/>
      <c r="B61" s="14" t="str">
        <f>CONCATENATE("     ","Interest                                          ")</f>
        <v xml:space="preserve">     Interest                                          </v>
      </c>
      <c r="C61" s="14"/>
      <c r="D61" s="1">
        <f>SUM(OSRRefD21_10x_0)</f>
        <v>3905</v>
      </c>
      <c r="E61" s="1">
        <f>SUM(OSRRefD21_10x_1)</f>
        <v>3905</v>
      </c>
      <c r="F61" s="1">
        <f>SUM(OSRRefD21_10x_2)</f>
        <v>3905</v>
      </c>
      <c r="G61" s="1">
        <f>SUM(OSRRefD21_10x_3)</f>
        <v>3629</v>
      </c>
      <c r="H61" s="1">
        <f>SUM(OSRRefD21_10x_4)</f>
        <v>3905</v>
      </c>
      <c r="I61" s="1">
        <f>SUM(OSRRefD21_10x_5)</f>
        <v>3905</v>
      </c>
      <c r="J61" s="1">
        <f>SUM(OSRRefE21_10x_0)</f>
        <v>3905</v>
      </c>
      <c r="K61" s="1">
        <f>SUM(OSRRefE21_10x_1)</f>
        <v>3905</v>
      </c>
      <c r="L61" s="1">
        <f>SUM(OSRRefE21_10x_2)</f>
        <v>3905</v>
      </c>
      <c r="M61" s="1">
        <f>SUM(OSRRefE21_10x_3)</f>
        <v>3905</v>
      </c>
      <c r="N61" s="1">
        <f>SUM(OSRRefE21_10x_4)</f>
        <v>3760</v>
      </c>
      <c r="O61" s="1">
        <f>SUM(OSRRefE21_10x_5)</f>
        <v>3760</v>
      </c>
      <c r="Q61" s="2">
        <f>SUM(OSRRefD20_10x)+IFERROR(SUM(OSRRefE20_10x),0)</f>
        <v>46294</v>
      </c>
    </row>
    <row r="62" spans="1:17" s="35" customFormat="1" hidden="1" outlineLevel="1" x14ac:dyDescent="0.3">
      <c r="A62" s="34"/>
      <c r="B62" s="10" t="str">
        <f>CONCATENATE("          ","6401", " - ","INTEREST EXPENSE")</f>
        <v xml:space="preserve">          6401 - INTEREST EXPENSE</v>
      </c>
      <c r="C62" s="14"/>
      <c r="D62" s="2">
        <v>3905</v>
      </c>
      <c r="E62" s="2">
        <v>3905</v>
      </c>
      <c r="F62" s="2">
        <v>3905</v>
      </c>
      <c r="G62" s="2">
        <v>3629</v>
      </c>
      <c r="H62" s="2">
        <v>3905</v>
      </c>
      <c r="I62" s="2">
        <v>3905</v>
      </c>
      <c r="J62" s="2">
        <v>3905</v>
      </c>
      <c r="K62" s="2">
        <v>3905</v>
      </c>
      <c r="L62" s="2">
        <v>3905</v>
      </c>
      <c r="M62" s="2">
        <v>3905</v>
      </c>
      <c r="N62" s="2">
        <v>3760</v>
      </c>
      <c r="O62" s="2">
        <v>3760</v>
      </c>
      <c r="P62" s="9"/>
      <c r="Q62" s="2">
        <f>SUM(OSRRefD21_10_0x)+IFERROR(SUM(OSRRefE21_10_0x),0)</f>
        <v>46294</v>
      </c>
    </row>
    <row r="63" spans="1:17" s="35" customFormat="1" collapsed="1" x14ac:dyDescent="0.3">
      <c r="A63" s="34"/>
      <c r="B63" s="14" t="str">
        <f>CONCATENATE("     ","Repair and Maintenance                            ")</f>
        <v xml:space="preserve">     Repair and Maintenance                            </v>
      </c>
      <c r="C63" s="14"/>
      <c r="D63" s="1">
        <f>SUM(OSRRefD21_11x_0)</f>
        <v>0</v>
      </c>
      <c r="E63" s="1">
        <f>SUM(OSRRefD21_11x_1)</f>
        <v>1922.99</v>
      </c>
      <c r="F63" s="1">
        <f>SUM(OSRRefD21_11x_2)</f>
        <v>107.78</v>
      </c>
      <c r="G63" s="1">
        <f>SUM(OSRRefD21_11x_3)</f>
        <v>238.26</v>
      </c>
      <c r="H63" s="1">
        <f>SUM(OSRRefD21_11x_4)</f>
        <v>0</v>
      </c>
      <c r="I63" s="1">
        <f>SUM(OSRRefD21_11x_5)</f>
        <v>513.55999999999995</v>
      </c>
      <c r="J63" s="1">
        <f>SUM(OSRRefE21_11x_0)</f>
        <v>100</v>
      </c>
      <c r="K63" s="1">
        <f>SUM(OSRRefE21_11x_1)</f>
        <v>100</v>
      </c>
      <c r="L63" s="1">
        <f>SUM(OSRRefE21_11x_2)</f>
        <v>100</v>
      </c>
      <c r="M63" s="1">
        <f>SUM(OSRRefE21_11x_3)</f>
        <v>100</v>
      </c>
      <c r="N63" s="1">
        <f>SUM(OSRRefE21_11x_4)</f>
        <v>100</v>
      </c>
      <c r="O63" s="1">
        <f>SUM(OSRRefE21_11x_5)</f>
        <v>100</v>
      </c>
      <c r="Q63" s="2">
        <f>SUM(OSRRefD20_11x)+IFERROR(SUM(OSRRefE20_11x),0)</f>
        <v>3382.5899999999997</v>
      </c>
    </row>
    <row r="64" spans="1:17" s="35" customFormat="1" hidden="1" outlineLevel="1" x14ac:dyDescent="0.3">
      <c r="A64" s="34"/>
      <c r="B64" s="10" t="str">
        <f>CONCATENATE("          ","6373", " - ","MAINTENANCE CONTRACTS")</f>
        <v xml:space="preserve">          6373 - MAINTENANCE CONTRACTS</v>
      </c>
      <c r="C64" s="14"/>
      <c r="D64" s="2"/>
      <c r="E64" s="2"/>
      <c r="F64" s="2">
        <v>107.78</v>
      </c>
      <c r="G64" s="2"/>
      <c r="H64" s="2"/>
      <c r="I64" s="2">
        <v>513.55999999999995</v>
      </c>
      <c r="J64" s="2"/>
      <c r="K64" s="2"/>
      <c r="L64" s="2"/>
      <c r="M64" s="2"/>
      <c r="N64" s="2"/>
      <c r="O64" s="2"/>
      <c r="P64" s="9"/>
      <c r="Q64" s="2">
        <f>SUM(OSRRefD21_11_0x)+IFERROR(SUM(OSRRefE21_11_0x),0)</f>
        <v>621.33999999999992</v>
      </c>
    </row>
    <row r="65" spans="1:17" s="35" customFormat="1" hidden="1" outlineLevel="1" x14ac:dyDescent="0.3">
      <c r="A65" s="34"/>
      <c r="B65" s="10" t="str">
        <f>CONCATENATE("          ","6375", " - ","OUTSIDE REPAIRS &amp; MAINTENANCE")</f>
        <v xml:space="preserve">          6375 - OUTSIDE REPAIRS &amp; MAINTENANCE</v>
      </c>
      <c r="C65" s="14"/>
      <c r="D65" s="2"/>
      <c r="E65" s="2">
        <v>1922.99</v>
      </c>
      <c r="F65" s="2"/>
      <c r="G65" s="2">
        <v>238.26</v>
      </c>
      <c r="H65" s="2"/>
      <c r="I65" s="2"/>
      <c r="J65" s="2">
        <v>100</v>
      </c>
      <c r="K65" s="2">
        <v>100</v>
      </c>
      <c r="L65" s="2">
        <v>100</v>
      </c>
      <c r="M65" s="2">
        <v>100</v>
      </c>
      <c r="N65" s="2">
        <v>100</v>
      </c>
      <c r="O65" s="2">
        <v>100</v>
      </c>
      <c r="P65" s="9"/>
      <c r="Q65" s="2">
        <f>SUM(OSRRefD21_11_1x)+IFERROR(SUM(OSRRefE21_11_1x),0)</f>
        <v>2761.25</v>
      </c>
    </row>
    <row r="66" spans="1:17" s="35" customFormat="1" collapsed="1" x14ac:dyDescent="0.3">
      <c r="A66" s="34"/>
      <c r="B66" s="14" t="str">
        <f>CONCATENATE("     ","Services                                          ")</f>
        <v xml:space="preserve">     Services                                          </v>
      </c>
      <c r="C66" s="14"/>
      <c r="D66" s="1">
        <f>SUM(OSRRefD21_12x_0)</f>
        <v>0</v>
      </c>
      <c r="E66" s="1">
        <f>SUM(OSRRefD21_12x_1)</f>
        <v>7397.9199999999992</v>
      </c>
      <c r="F66" s="1">
        <f>SUM(OSRRefD21_12x_2)</f>
        <v>272.27999999999997</v>
      </c>
      <c r="G66" s="1">
        <f>SUM(OSRRefD21_12x_3)</f>
        <v>440.68</v>
      </c>
      <c r="H66" s="1">
        <f>SUM(OSRRefD21_12x_4)</f>
        <v>272.27999999999997</v>
      </c>
      <c r="I66" s="1">
        <f>SUM(OSRRefD21_12x_5)</f>
        <v>282.56</v>
      </c>
      <c r="J66" s="1">
        <f>SUM(OSRRefE21_12x_0)</f>
        <v>192</v>
      </c>
      <c r="K66" s="1">
        <f>SUM(OSRRefE21_12x_1)</f>
        <v>192</v>
      </c>
      <c r="L66" s="1">
        <f>SUM(OSRRefE21_12x_2)</f>
        <v>192</v>
      </c>
      <c r="M66" s="1">
        <f>SUM(OSRRefE21_12x_3)</f>
        <v>192</v>
      </c>
      <c r="N66" s="1">
        <f>SUM(OSRRefE21_12x_4)</f>
        <v>192</v>
      </c>
      <c r="O66" s="1">
        <f>SUM(OSRRefE21_12x_5)</f>
        <v>192</v>
      </c>
      <c r="Q66" s="2">
        <f>SUM(OSRRefD20_12x)+IFERROR(SUM(OSRRefE20_12x),0)</f>
        <v>9817.7199999999993</v>
      </c>
    </row>
    <row r="67" spans="1:17" s="35" customFormat="1" hidden="1" outlineLevel="1" x14ac:dyDescent="0.3">
      <c r="A67" s="34"/>
      <c r="B67" s="10" t="str">
        <f>CONCATENATE("          ","6282", " - ","JANITORIAL/EXTERMINATOR EXPENS")</f>
        <v xml:space="preserve">          6282 - JANITORIAL/EXTERMINATOR EXPENS</v>
      </c>
      <c r="C67" s="14"/>
      <c r="D67" s="2"/>
      <c r="E67" s="2">
        <v>168.4</v>
      </c>
      <c r="F67" s="2">
        <v>168.4</v>
      </c>
      <c r="G67" s="2">
        <v>336.8</v>
      </c>
      <c r="H67" s="2">
        <v>168.4</v>
      </c>
      <c r="I67" s="2">
        <v>168.4</v>
      </c>
      <c r="J67" s="2">
        <v>158</v>
      </c>
      <c r="K67" s="2">
        <v>158</v>
      </c>
      <c r="L67" s="2">
        <v>158</v>
      </c>
      <c r="M67" s="2">
        <v>158</v>
      </c>
      <c r="N67" s="2">
        <v>158</v>
      </c>
      <c r="O67" s="2">
        <v>158</v>
      </c>
      <c r="P67" s="9"/>
      <c r="Q67" s="2">
        <f>SUM(OSRRefD21_12_0x)+IFERROR(SUM(OSRRefE21_12_0x),0)</f>
        <v>1958.4</v>
      </c>
    </row>
    <row r="68" spans="1:17" s="35" customFormat="1" hidden="1" outlineLevel="1" x14ac:dyDescent="0.3">
      <c r="A68" s="34"/>
      <c r="B68" s="10" t="str">
        <f>CONCATENATE("          ","6285", " - ","JANITORIAL SERVICES")</f>
        <v xml:space="preserve">          6285 - JANITORIAL SERVICES</v>
      </c>
      <c r="C68" s="14"/>
      <c r="D68" s="2"/>
      <c r="E68" s="2">
        <v>7177.58</v>
      </c>
      <c r="F68" s="2">
        <v>51.94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SUM(OSRRefD21_12_1x)+IFERROR(SUM(OSRRefE21_12_1x),0)</f>
        <v>7229.5199999999995</v>
      </c>
    </row>
    <row r="69" spans="1:17" s="35" customFormat="1" hidden="1" outlineLevel="1" x14ac:dyDescent="0.3">
      <c r="A69" s="34"/>
      <c r="B69" s="10" t="str">
        <f>CONCATENATE("          ","6286", " - ","LAUNDRY EXPENSE")</f>
        <v xml:space="preserve">          6286 - LAUNDRY EXPENSE</v>
      </c>
      <c r="C69" s="14"/>
      <c r="D69" s="2"/>
      <c r="E69" s="2">
        <v>51.94</v>
      </c>
      <c r="F69" s="2">
        <v>51.94</v>
      </c>
      <c r="G69" s="2">
        <v>103.88</v>
      </c>
      <c r="H69" s="2">
        <v>103.88</v>
      </c>
      <c r="I69" s="2">
        <v>114.16</v>
      </c>
      <c r="J69" s="2">
        <v>34</v>
      </c>
      <c r="K69" s="2">
        <v>34</v>
      </c>
      <c r="L69" s="2">
        <v>34</v>
      </c>
      <c r="M69" s="2">
        <v>34</v>
      </c>
      <c r="N69" s="2">
        <v>34</v>
      </c>
      <c r="O69" s="2">
        <v>34</v>
      </c>
      <c r="P69" s="9"/>
      <c r="Q69" s="2">
        <f>SUM(OSRRefD21_12_2x)+IFERROR(SUM(OSRRefE21_12_2x),0)</f>
        <v>629.79999999999995</v>
      </c>
    </row>
    <row r="70" spans="1:17" s="35" customFormat="1" collapsed="1" x14ac:dyDescent="0.3">
      <c r="A70" s="34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SUM(OSRRefD21_13x_0)</f>
        <v>107.74</v>
      </c>
      <c r="E70" s="1">
        <f>SUM(OSRRefD21_13x_1)</f>
        <v>692.12</v>
      </c>
      <c r="F70" s="1">
        <f>SUM(OSRRefD21_13x_2)</f>
        <v>177.2</v>
      </c>
      <c r="G70" s="1">
        <f>SUM(OSRRefD21_13x_3)</f>
        <v>248.87</v>
      </c>
      <c r="H70" s="1">
        <f>SUM(OSRRefD21_13x_4)</f>
        <v>121.04</v>
      </c>
      <c r="I70" s="1">
        <f>SUM(OSRRefD21_13x_5)</f>
        <v>175.19</v>
      </c>
      <c r="J70" s="1">
        <f>SUM(OSRRefE21_13x_0)</f>
        <v>850</v>
      </c>
      <c r="K70" s="1">
        <f>SUM(OSRRefE21_13x_1)</f>
        <v>1700</v>
      </c>
      <c r="L70" s="1">
        <f>SUM(OSRRefE21_13x_2)</f>
        <v>600</v>
      </c>
      <c r="M70" s="1">
        <f>SUM(OSRRefE21_13x_3)</f>
        <v>750</v>
      </c>
      <c r="N70" s="1">
        <f>SUM(OSRRefE21_13x_4)</f>
        <v>600</v>
      </c>
      <c r="O70" s="1">
        <f>SUM(OSRRefE21_13x_5)</f>
        <v>500</v>
      </c>
      <c r="Q70" s="2">
        <f>SUM(OSRRefD20_13x)+IFERROR(SUM(OSRRefE20_13x),0)</f>
        <v>6522.16</v>
      </c>
    </row>
    <row r="71" spans="1:17" s="35" customFormat="1" hidden="1" outlineLevel="1" x14ac:dyDescent="0.3">
      <c r="A71" s="34"/>
      <c r="B71" s="10" t="str">
        <f>CONCATENATE("          ","6234", " - ","EXPENDABLE SUPPLIES &amp; EQUIPMEN")</f>
        <v xml:space="preserve">          6234 - EXPENDABLE SUPPLIES &amp; EQUIPMEN</v>
      </c>
      <c r="C71" s="14"/>
      <c r="D71" s="2"/>
      <c r="E71" s="2"/>
      <c r="F71" s="2"/>
      <c r="G71" s="2"/>
      <c r="H71" s="2"/>
      <c r="I71" s="2"/>
      <c r="J71" s="2">
        <v>200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SUM(OSRRefD21_13_0x)+IFERROR(SUM(OSRRefE21_13_0x),0)</f>
        <v>450</v>
      </c>
    </row>
    <row r="72" spans="1:17" s="35" customFormat="1" hidden="1" outlineLevel="1" x14ac:dyDescent="0.3">
      <c r="A72" s="34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369.62</v>
      </c>
      <c r="F72" s="2">
        <v>119.22</v>
      </c>
      <c r="G72" s="2"/>
      <c r="H72" s="2"/>
      <c r="I72" s="2">
        <v>76.540000000000006</v>
      </c>
      <c r="J72" s="2">
        <v>50</v>
      </c>
      <c r="K72" s="2">
        <v>50</v>
      </c>
      <c r="L72" s="2">
        <v>0</v>
      </c>
      <c r="M72" s="2">
        <v>50</v>
      </c>
      <c r="N72" s="2">
        <v>0</v>
      </c>
      <c r="O72" s="2">
        <v>0</v>
      </c>
      <c r="P72" s="9"/>
      <c r="Q72" s="2">
        <f>SUM(OSRRefD21_13_1x)+IFERROR(SUM(OSRRefE21_13_1x),0)</f>
        <v>715.38</v>
      </c>
    </row>
    <row r="73" spans="1:17" s="35" customFormat="1" hidden="1" outlineLevel="1" x14ac:dyDescent="0.3">
      <c r="A73" s="34"/>
      <c r="B73" s="10" t="str">
        <f>CONCATENATE("          ","6241", " - ","OFFICE EXPENSE")</f>
        <v xml:space="preserve">          6241 - OFFICE EXPENSE</v>
      </c>
      <c r="C73" s="14"/>
      <c r="D73" s="2">
        <v>107.74</v>
      </c>
      <c r="E73" s="2">
        <v>22.5</v>
      </c>
      <c r="F73" s="2"/>
      <c r="G73" s="2">
        <v>42.74</v>
      </c>
      <c r="H73" s="2"/>
      <c r="I73" s="2">
        <v>32.31</v>
      </c>
      <c r="J73" s="2"/>
      <c r="K73" s="2"/>
      <c r="L73" s="2"/>
      <c r="M73" s="2"/>
      <c r="N73" s="2"/>
      <c r="O73" s="2"/>
      <c r="P73" s="9"/>
      <c r="Q73" s="2">
        <f>SUM(OSRRefD21_13_2x)+IFERROR(SUM(OSRRefE21_13_2x),0)</f>
        <v>205.29000000000002</v>
      </c>
    </row>
    <row r="74" spans="1:17" s="35" customFormat="1" hidden="1" outlineLevel="1" x14ac:dyDescent="0.3">
      <c r="A74" s="34"/>
      <c r="B74" s="10" t="str">
        <f>CONCATENATE("          ","6243", " - ","PAPER SUPPLIES")</f>
        <v xml:space="preserve">          6243 - PAPER SUPPLIES</v>
      </c>
      <c r="C74" s="14"/>
      <c r="D74" s="2"/>
      <c r="E74" s="2"/>
      <c r="F74" s="2"/>
      <c r="G74" s="2"/>
      <c r="H74" s="2"/>
      <c r="I74" s="2"/>
      <c r="J74" s="2">
        <v>200</v>
      </c>
      <c r="K74" s="2">
        <v>200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SUM(OSRRefD21_13_3x)+IFERROR(SUM(OSRRefE21_13_3x),0)</f>
        <v>1200</v>
      </c>
    </row>
    <row r="75" spans="1:17" s="35" customFormat="1" hidden="1" outlineLevel="1" x14ac:dyDescent="0.3">
      <c r="A75" s="34"/>
      <c r="B75" s="10" t="str">
        <f>CONCATENATE("          ","6247", " - ","STORE SUPPLIES")</f>
        <v xml:space="preserve">          6247 - STORE SUPPLIES</v>
      </c>
      <c r="C75" s="14"/>
      <c r="D75" s="2"/>
      <c r="E75" s="2">
        <v>300</v>
      </c>
      <c r="F75" s="2">
        <v>57.98</v>
      </c>
      <c r="G75" s="2">
        <v>206.13</v>
      </c>
      <c r="H75" s="2">
        <v>121.04</v>
      </c>
      <c r="I75" s="2">
        <v>66.34</v>
      </c>
      <c r="J75" s="2">
        <v>400</v>
      </c>
      <c r="K75" s="2">
        <v>1400</v>
      </c>
      <c r="L75" s="2">
        <v>350</v>
      </c>
      <c r="M75" s="2">
        <v>450</v>
      </c>
      <c r="N75" s="2">
        <v>350</v>
      </c>
      <c r="O75" s="2">
        <v>250</v>
      </c>
      <c r="P75" s="9"/>
      <c r="Q75" s="2">
        <f>SUM(OSRRefD21_13_4x)+IFERROR(SUM(OSRRefE21_13_4x),0)</f>
        <v>3951.49</v>
      </c>
    </row>
    <row r="76" spans="1:17" s="35" customFormat="1" collapsed="1" x14ac:dyDescent="0.3">
      <c r="A76" s="34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SUM(OSRRefD21_14x_0)</f>
        <v>107</v>
      </c>
      <c r="E76" s="1">
        <f>SUM(OSRRefD21_14x_1)</f>
        <v>22</v>
      </c>
      <c r="F76" s="1">
        <f>SUM(OSRRefD21_14x_2)</f>
        <v>294</v>
      </c>
      <c r="G76" s="1">
        <f>SUM(OSRRefD21_14x_3)</f>
        <v>-228</v>
      </c>
      <c r="H76" s="1">
        <f>SUM(OSRRefD21_14x_4)</f>
        <v>22</v>
      </c>
      <c r="I76" s="1">
        <f>SUM(OSRRefD21_14x_5)</f>
        <v>22</v>
      </c>
      <c r="J76" s="1">
        <f>SUM(OSRRefE21_14x_0)</f>
        <v>125</v>
      </c>
      <c r="K76" s="1">
        <f>SUM(OSRRefE21_14x_1)</f>
        <v>125</v>
      </c>
      <c r="L76" s="1">
        <f>SUM(OSRRefE21_14x_2)</f>
        <v>125</v>
      </c>
      <c r="M76" s="1">
        <f>SUM(OSRRefE21_14x_3)</f>
        <v>125</v>
      </c>
      <c r="N76" s="1">
        <f>SUM(OSRRefE21_14x_4)</f>
        <v>125</v>
      </c>
      <c r="O76" s="1">
        <f>SUM(OSRRefE21_14x_5)</f>
        <v>125</v>
      </c>
      <c r="Q76" s="2">
        <f>SUM(OSRRefD20_14x)+IFERROR(SUM(OSRRefE20_14x),0)</f>
        <v>989</v>
      </c>
    </row>
    <row r="77" spans="1:17" s="35" customFormat="1" hidden="1" outlineLevel="1" x14ac:dyDescent="0.3">
      <c r="A77" s="34"/>
      <c r="B77" s="10" t="str">
        <f>CONCATENATE("          ","6303", " - ","DATA PHONE LINES")</f>
        <v xml:space="preserve">          6303 - DATA PHONE LINES</v>
      </c>
      <c r="C77" s="14"/>
      <c r="D77" s="2"/>
      <c r="E77" s="2"/>
      <c r="F77" s="2"/>
      <c r="G77" s="2"/>
      <c r="H77" s="2"/>
      <c r="I77" s="2"/>
      <c r="J77" s="2">
        <v>50</v>
      </c>
      <c r="K77" s="2">
        <v>50</v>
      </c>
      <c r="L77" s="2">
        <v>50</v>
      </c>
      <c r="M77" s="2">
        <v>50</v>
      </c>
      <c r="N77" s="2">
        <v>50</v>
      </c>
      <c r="O77" s="2">
        <v>50</v>
      </c>
      <c r="P77" s="9"/>
      <c r="Q77" s="2">
        <f>SUM(OSRRefD21_14_0x)+IFERROR(SUM(OSRRefE21_14_0x),0)</f>
        <v>300</v>
      </c>
    </row>
    <row r="78" spans="1:17" s="35" customFormat="1" hidden="1" outlineLevel="1" x14ac:dyDescent="0.3">
      <c r="A78" s="34"/>
      <c r="B78" s="10" t="str">
        <f>CONCATENATE("          ","6309", " - ","TELEPHONE")</f>
        <v xml:space="preserve">          6309 - TELEPHONE</v>
      </c>
      <c r="C78" s="14"/>
      <c r="D78" s="2">
        <v>107</v>
      </c>
      <c r="E78" s="2">
        <v>22</v>
      </c>
      <c r="F78" s="2">
        <v>294</v>
      </c>
      <c r="G78" s="2">
        <v>-228</v>
      </c>
      <c r="H78" s="2">
        <v>22</v>
      </c>
      <c r="I78" s="2">
        <v>22</v>
      </c>
      <c r="J78" s="2">
        <v>75</v>
      </c>
      <c r="K78" s="2">
        <v>75</v>
      </c>
      <c r="L78" s="2">
        <v>75</v>
      </c>
      <c r="M78" s="2">
        <v>75</v>
      </c>
      <c r="N78" s="2">
        <v>75</v>
      </c>
      <c r="O78" s="2">
        <v>75</v>
      </c>
      <c r="P78" s="9"/>
      <c r="Q78" s="2">
        <f>SUM(OSRRefD21_14_1x)+IFERROR(SUM(OSRRefE21_14_1x),0)</f>
        <v>689</v>
      </c>
    </row>
    <row r="79" spans="1:17" s="35" customFormat="1" collapsed="1" x14ac:dyDescent="0.3">
      <c r="A79" s="34"/>
      <c r="B79" s="14" t="str">
        <f>CONCATENATE("     ","Utilities                                         ")</f>
        <v xml:space="preserve">     Utilities                                         </v>
      </c>
      <c r="C79" s="14"/>
      <c r="D79" s="1">
        <f>SUM(OSRRefD21_15x_0)</f>
        <v>100</v>
      </c>
      <c r="E79" s="1">
        <f>SUM(OSRRefD21_15x_1)</f>
        <v>100</v>
      </c>
      <c r="F79" s="1">
        <f>SUM(OSRRefD21_15x_2)</f>
        <v>100</v>
      </c>
      <c r="G79" s="1">
        <f>SUM(OSRRefD21_15x_3)</f>
        <v>100</v>
      </c>
      <c r="H79" s="1">
        <f>SUM(OSRRefD21_15x_4)</f>
        <v>100</v>
      </c>
      <c r="I79" s="1">
        <f>SUM(OSRRefD21_15x_5)</f>
        <v>100</v>
      </c>
      <c r="J79" s="1">
        <f>SUM(OSRRefE21_15x_0)</f>
        <v>0</v>
      </c>
      <c r="K79" s="1">
        <f>SUM(OSRRefE21_15x_1)</f>
        <v>0</v>
      </c>
      <c r="L79" s="1">
        <f>SUM(OSRRefE21_15x_2)</f>
        <v>0</v>
      </c>
      <c r="M79" s="1">
        <f>SUM(OSRRefE21_15x_3)</f>
        <v>0</v>
      </c>
      <c r="N79" s="1">
        <f>SUM(OSRRefE21_15x_4)</f>
        <v>0</v>
      </c>
      <c r="O79" s="1">
        <f>SUM(OSRRefE21_15x_5)</f>
        <v>0</v>
      </c>
      <c r="Q79" s="2">
        <f>SUM(OSRRefD20_15x)+IFERROR(SUM(OSRRefE20_15x),0)</f>
        <v>600</v>
      </c>
    </row>
    <row r="80" spans="1:17" s="35" customFormat="1" hidden="1" outlineLevel="1" x14ac:dyDescent="0.3">
      <c r="A80" s="34"/>
      <c r="B80" s="10" t="str">
        <f>CONCATENATE("          ","6274", " - ","UTILITIES")</f>
        <v xml:space="preserve">          6274 - UTILITIES</v>
      </c>
      <c r="C80" s="14"/>
      <c r="D80" s="2">
        <v>100</v>
      </c>
      <c r="E80" s="2">
        <v>100</v>
      </c>
      <c r="F80" s="2">
        <v>100</v>
      </c>
      <c r="G80" s="2">
        <v>100</v>
      </c>
      <c r="H80" s="2">
        <v>100</v>
      </c>
      <c r="I80" s="2">
        <v>100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SUM(OSRRefD21_15_0x)+IFERROR(SUM(OSRRefE21_15_0x),0)</f>
        <v>600</v>
      </c>
    </row>
    <row r="81" spans="1:17" s="29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3"/>
      <c r="B82" s="16" t="s">
        <v>293</v>
      </c>
      <c r="C82" s="22"/>
      <c r="D82" s="3">
        <f t="shared" ref="D82:I82" si="3">0</f>
        <v>0</v>
      </c>
      <c r="E82" s="3">
        <f t="shared" si="3"/>
        <v>0</v>
      </c>
      <c r="F82" s="3">
        <f t="shared" si="3"/>
        <v>0</v>
      </c>
      <c r="G82" s="3">
        <f t="shared" si="3"/>
        <v>0</v>
      </c>
      <c r="H82" s="3">
        <f t="shared" si="3"/>
        <v>0</v>
      </c>
      <c r="I82" s="3">
        <f t="shared" si="3"/>
        <v>0</v>
      </c>
      <c r="J82" s="3"/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7">
        <f t="shared" ref="D84:O84" si="4">IFERROR(+D19-D22+D82, 0)</f>
        <v>-10022.300000000001</v>
      </c>
      <c r="E84" s="7">
        <f t="shared" si="4"/>
        <v>-21493.17</v>
      </c>
      <c r="F84" s="7">
        <f t="shared" si="4"/>
        <v>-7923.8600000000024</v>
      </c>
      <c r="G84" s="7">
        <f t="shared" si="4"/>
        <v>-5021.3200000000033</v>
      </c>
      <c r="H84" s="7">
        <f t="shared" si="4"/>
        <v>-6181.3100000000013</v>
      </c>
      <c r="I84" s="7">
        <f t="shared" si="4"/>
        <v>-11058.66</v>
      </c>
      <c r="J84" s="7">
        <f t="shared" si="4"/>
        <v>-14031.689544384615</v>
      </c>
      <c r="K84" s="7">
        <f t="shared" si="4"/>
        <v>458.93465169231058</v>
      </c>
      <c r="L84" s="7">
        <f t="shared" si="4"/>
        <v>1337.5914361923096</v>
      </c>
      <c r="M84" s="7">
        <f t="shared" si="4"/>
        <v>-4007.9429683846174</v>
      </c>
      <c r="N84" s="7">
        <f t="shared" si="4"/>
        <v>-12849.611335057692</v>
      </c>
      <c r="O84" s="7">
        <f t="shared" si="4"/>
        <v>-18947.092781807689</v>
      </c>
      <c r="Q84" s="7">
        <f>IFERROR(+Q19-Q22+Q82, 0)</f>
        <v>-109740.43054174996</v>
      </c>
    </row>
    <row r="85" spans="1:17" s="6" customFormat="1" x14ac:dyDescent="0.3">
      <c r="B85" s="16"/>
      <c r="C85" s="16"/>
      <c r="D85" s="4">
        <f t="shared" ref="D85:O85" si="5">IFERROR(D84/D10, 0)</f>
        <v>0</v>
      </c>
      <c r="E85" s="4">
        <f t="shared" si="5"/>
        <v>-3.2890375972295969</v>
      </c>
      <c r="F85" s="4">
        <f t="shared" si="5"/>
        <v>-0.49203808208562277</v>
      </c>
      <c r="G85" s="4">
        <f t="shared" si="5"/>
        <v>-0.19749133941016758</v>
      </c>
      <c r="H85" s="4">
        <f t="shared" si="5"/>
        <v>-0.40568188679542483</v>
      </c>
      <c r="I85" s="4">
        <f t="shared" si="5"/>
        <v>-0.89129048871365391</v>
      </c>
      <c r="J85" s="4">
        <f t="shared" si="5"/>
        <v>-0.56495106270421613</v>
      </c>
      <c r="K85" s="4">
        <f t="shared" si="5"/>
        <v>6.8391549191152623E-3</v>
      </c>
      <c r="L85" s="4">
        <f t="shared" si="5"/>
        <v>2.0705749786258661E-2</v>
      </c>
      <c r="M85" s="4">
        <f t="shared" si="5"/>
        <v>-6.7776155718011627E-2</v>
      </c>
      <c r="N85" s="4">
        <f t="shared" si="5"/>
        <v>-0.44613607857293563</v>
      </c>
      <c r="O85" s="4">
        <f t="shared" si="5"/>
        <v>-2.0503292697551876</v>
      </c>
      <c r="P85" s="18"/>
      <c r="Q85" s="4">
        <f>IFERROR(Q84/Q10, 0)</f>
        <v>-0.33312439692168627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/>
      <c r="E87" s="3">
        <v>976.51</v>
      </c>
      <c r="F87" s="3">
        <v>1825.64</v>
      </c>
      <c r="G87" s="3">
        <v>2753.71</v>
      </c>
      <c r="H87" s="3">
        <v>1984.07</v>
      </c>
      <c r="I87" s="3">
        <v>1573.2</v>
      </c>
      <c r="J87" s="3">
        <v>2670</v>
      </c>
      <c r="K87" s="3">
        <v>7805</v>
      </c>
      <c r="L87" s="3">
        <v>7775</v>
      </c>
      <c r="M87" s="3">
        <v>7598</v>
      </c>
      <c r="N87" s="3">
        <v>3875</v>
      </c>
      <c r="O87" s="3">
        <v>-2654</v>
      </c>
      <c r="Q87" s="2">
        <f>SUM(OSRRefD28_0x)+IFERROR(SUM(OSRRefE28_0x),0)</f>
        <v>36182.130000000005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8">
        <f t="shared" ref="D89:O89" si="6">IFERROR(+D84-D87, 0)</f>
        <v>-10022.300000000001</v>
      </c>
      <c r="E89" s="8">
        <f t="shared" si="6"/>
        <v>-22469.679999999997</v>
      </c>
      <c r="F89" s="8">
        <f t="shared" si="6"/>
        <v>-9749.5000000000018</v>
      </c>
      <c r="G89" s="8">
        <f t="shared" si="6"/>
        <v>-7775.0300000000034</v>
      </c>
      <c r="H89" s="8">
        <f t="shared" si="6"/>
        <v>-8165.380000000001</v>
      </c>
      <c r="I89" s="8">
        <f t="shared" si="6"/>
        <v>-12631.86</v>
      </c>
      <c r="J89" s="8">
        <f t="shared" si="6"/>
        <v>-16701.689544384615</v>
      </c>
      <c r="K89" s="8">
        <f t="shared" si="6"/>
        <v>-7346.0653483076894</v>
      </c>
      <c r="L89" s="8">
        <f t="shared" si="6"/>
        <v>-6437.4085638076904</v>
      </c>
      <c r="M89" s="8">
        <f t="shared" si="6"/>
        <v>-11605.942968384617</v>
      </c>
      <c r="N89" s="8">
        <f t="shared" si="6"/>
        <v>-16724.611335057692</v>
      </c>
      <c r="O89" s="8">
        <f t="shared" si="6"/>
        <v>-16293.092781807689</v>
      </c>
      <c r="Q89" s="8">
        <f>IFERROR(+Q84-Q87, 0)</f>
        <v>-145922.56054174996</v>
      </c>
    </row>
    <row r="90" spans="1:17" ht="15" thickTop="1" x14ac:dyDescent="0.3">
      <c r="A90" s="5"/>
      <c r="B90" s="5"/>
      <c r="C90" s="5"/>
      <c r="D90" s="4">
        <f t="shared" ref="D90:O90" si="7">IFERROR(D89/D10, 0)</f>
        <v>0</v>
      </c>
      <c r="E90" s="4">
        <f t="shared" si="7"/>
        <v>-3.4384700962081407</v>
      </c>
      <c r="F90" s="4">
        <f t="shared" si="7"/>
        <v>-0.60540257920934726</v>
      </c>
      <c r="G90" s="4">
        <f t="shared" si="7"/>
        <v>-0.30579630229784893</v>
      </c>
      <c r="H90" s="4">
        <f t="shared" si="7"/>
        <v>-0.53589720703242938</v>
      </c>
      <c r="I90" s="4">
        <f t="shared" si="7"/>
        <v>-1.0180850729439603</v>
      </c>
      <c r="J90" s="4">
        <f t="shared" si="7"/>
        <v>-0.67245196861072654</v>
      </c>
      <c r="K90" s="4">
        <f t="shared" si="7"/>
        <v>-0.10947283840468064</v>
      </c>
      <c r="L90" s="4">
        <f t="shared" si="7"/>
        <v>-9.9650287365444123E-2</v>
      </c>
      <c r="M90" s="4">
        <f t="shared" si="7"/>
        <v>-0.1962618241039083</v>
      </c>
      <c r="N90" s="4">
        <f t="shared" si="7"/>
        <v>-0.58067534667931719</v>
      </c>
      <c r="O90" s="4">
        <f t="shared" si="7"/>
        <v>-1.7631309145988192</v>
      </c>
      <c r="P90" s="18"/>
      <c r="Q90" s="4">
        <f>IFERROR(Q89/Q10, 0)</f>
        <v>-0.44295766599207254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8">
        <f t="shared" ref="D93:O93" si="8">IFERROR(SUM(D89:D92), 0)</f>
        <v>-10022.300000000001</v>
      </c>
      <c r="E93" s="8">
        <f t="shared" si="8"/>
        <v>-22473.118470096204</v>
      </c>
      <c r="F93" s="8">
        <f t="shared" si="8"/>
        <v>-9750.1054025792109</v>
      </c>
      <c r="G93" s="8">
        <f t="shared" si="8"/>
        <v>-7775.3357963023009</v>
      </c>
      <c r="H93" s="8">
        <f t="shared" si="8"/>
        <v>-8165.9158972070336</v>
      </c>
      <c r="I93" s="8">
        <f t="shared" si="8"/>
        <v>-12632.878085072945</v>
      </c>
      <c r="J93" s="8">
        <f t="shared" si="8"/>
        <v>-16702.361996353226</v>
      </c>
      <c r="K93" s="8">
        <f t="shared" si="8"/>
        <v>-7346.1748211460945</v>
      </c>
      <c r="L93" s="8">
        <f t="shared" si="8"/>
        <v>-6437.5082140950562</v>
      </c>
      <c r="M93" s="8">
        <f t="shared" si="8"/>
        <v>-11606.139230208721</v>
      </c>
      <c r="N93" s="8">
        <f t="shared" si="8"/>
        <v>-16725.192010404371</v>
      </c>
      <c r="O93" s="8">
        <f t="shared" si="8"/>
        <v>-16294.855912722287</v>
      </c>
      <c r="Q93" s="8">
        <f>IFERROR(SUM(Q89:Q92), 0)</f>
        <v>-145923.00349941597</v>
      </c>
    </row>
    <row r="94" spans="1:17" ht="15" thickTop="1" x14ac:dyDescent="0.3">
      <c r="A94" s="5"/>
      <c r="C94" s="5"/>
      <c r="D94" s="4">
        <f t="shared" ref="D94:O94" si="9">IFERROR(D93/D10, 0)</f>
        <v>0</v>
      </c>
      <c r="E94" s="4">
        <f t="shared" si="9"/>
        <v>-3.4389962753349694</v>
      </c>
      <c r="F94" s="4">
        <f t="shared" si="9"/>
        <v>-0.60544017214056556</v>
      </c>
      <c r="G94" s="4">
        <f t="shared" si="9"/>
        <v>-0.30580832943838715</v>
      </c>
      <c r="H94" s="4">
        <f t="shared" si="9"/>
        <v>-0.53593237818386452</v>
      </c>
      <c r="I94" s="4">
        <f t="shared" si="9"/>
        <v>-1.0181671271478347</v>
      </c>
      <c r="J94" s="4">
        <f t="shared" si="9"/>
        <v>-0.67247904321589669</v>
      </c>
      <c r="K94" s="4">
        <f t="shared" si="9"/>
        <v>-0.10947446979533403</v>
      </c>
      <c r="L94" s="4">
        <f t="shared" si="9"/>
        <v>-9.9651829939551947E-2</v>
      </c>
      <c r="M94" s="4">
        <f t="shared" si="9"/>
        <v>-0.19626514298146142</v>
      </c>
      <c r="N94" s="4">
        <f t="shared" si="9"/>
        <v>-0.5806955076176783</v>
      </c>
      <c r="O94" s="4">
        <f t="shared" si="9"/>
        <v>-1.7633217089841238</v>
      </c>
      <c r="P94" s="18"/>
      <c r="Q94" s="4">
        <f>IFERROR(Q93/Q10, 0)</f>
        <v>-0.44295901061961429</v>
      </c>
    </row>
    <row r="95" spans="1:17" x14ac:dyDescent="0.3">
      <c r="A95" s="5"/>
      <c r="B95" s="28">
        <v>44575.850692245367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A96" s="5"/>
      <c r="B96" s="26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3">
      <c r="A97" s="5"/>
      <c r="B97" s="3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","327", " - ", "C-Store Vending Machine(s)")</f>
        <v>Department 327 - C-Store Vending Machine(s)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130.35</v>
      </c>
      <c r="F10" s="3">
        <f>SUM(OSRRefD11x_2)</f>
        <v>8.7400000000000091</v>
      </c>
      <c r="G10" s="3">
        <f>SUM(OSRRefD11x_3)</f>
        <v>404.53</v>
      </c>
      <c r="H10" s="3">
        <f>SUM(OSRRefD11x_4)</f>
        <v>84.35</v>
      </c>
      <c r="I10" s="3">
        <f>SUM(OSRRefD11x_5)</f>
        <v>70.75</v>
      </c>
      <c r="J10" s="3">
        <f>SUM(OSRRefE11x_0)</f>
        <v>50</v>
      </c>
      <c r="K10" s="3">
        <f>SUM(OSRRefE11x_1)</f>
        <v>100</v>
      </c>
      <c r="L10" s="3">
        <f>SUM(OSRRefE11x_2)</f>
        <v>125</v>
      </c>
      <c r="M10" s="3">
        <f>SUM(OSRRefE11x_3)</f>
        <v>125</v>
      </c>
      <c r="N10" s="3">
        <f>SUM(OSRRefE11x_4)</f>
        <v>200</v>
      </c>
      <c r="O10" s="3">
        <f>SUM(OSRRefE11x_5)</f>
        <v>50</v>
      </c>
      <c r="P10" s="24"/>
      <c r="Q10" s="3">
        <f>SUM(OSRRefG11x)</f>
        <v>1348.72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3" si="0">0</f>
        <v>0</v>
      </c>
      <c r="E11" s="2">
        <f t="shared" ref="E11:E12" si="1">0</f>
        <v>0</v>
      </c>
      <c r="F11" s="2">
        <f t="shared" ref="F11:I11" si="2">0</f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v>50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650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si="0"/>
        <v>0</v>
      </c>
      <c r="E12" s="2">
        <f t="shared" si="1"/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>
        <f>--70.75</f>
        <v>70.75</v>
      </c>
      <c r="J12" s="2"/>
      <c r="K12" s="2"/>
      <c r="L12" s="2"/>
      <c r="M12" s="2"/>
      <c r="N12" s="2"/>
      <c r="O12" s="2"/>
      <c r="Q12" s="2">
        <f>SUM(OSRRefD11_1x)+IFERROR(SUM(OSRRefE11_1x),0)</f>
        <v>698.72</v>
      </c>
    </row>
    <row r="13" spans="1:18" s="9" customFormat="1" hidden="1" outlineLevel="1" x14ac:dyDescent="0.3">
      <c r="A13" s="23"/>
      <c r="B13" s="10" t="str">
        <f>CONCATENATE("          ","4153", " - ","NON-TAXABLE SALES-FOOD")</f>
        <v xml:space="preserve">          4153 - NON-TAXABLE SALES-FOOD</v>
      </c>
      <c r="C13" s="22"/>
      <c r="D13" s="2">
        <f t="shared" si="0"/>
        <v>0</v>
      </c>
      <c r="E13" s="2">
        <f>--130.35</f>
        <v>130.35</v>
      </c>
      <c r="F13" s="2">
        <f>-130.35</f>
        <v>-130.35</v>
      </c>
      <c r="G13" s="2">
        <f t="shared" ref="G13:I13" si="3">0</f>
        <v>0</v>
      </c>
      <c r="H13" s="2">
        <f t="shared" si="3"/>
        <v>0</v>
      </c>
      <c r="I13" s="2">
        <f t="shared" si="3"/>
        <v>0</v>
      </c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3"/>
      <c r="B15" s="16" t="s">
        <v>218</v>
      </c>
      <c r="C15" s="22"/>
      <c r="D15" s="3">
        <f>SUM(OSRRefD14x_0)</f>
        <v>0</v>
      </c>
      <c r="E15" s="3">
        <f>SUM(OSRRefD14x_1)</f>
        <v>45</v>
      </c>
      <c r="F15" s="3">
        <f>SUM(OSRRefD14x_2)</f>
        <v>81.2</v>
      </c>
      <c r="G15" s="3">
        <f>SUM(OSRRefD14x_3)</f>
        <v>-311</v>
      </c>
      <c r="H15" s="3">
        <f>SUM(OSRRefD14x_4)</f>
        <v>165</v>
      </c>
      <c r="I15" s="3">
        <f>SUM(OSRRefD14x_5)</f>
        <v>11</v>
      </c>
      <c r="J15" s="3">
        <f>SUM(OSRRefE14x_0)</f>
        <v>25</v>
      </c>
      <c r="K15" s="3">
        <f>SUM(OSRRefE14x_1)</f>
        <v>50</v>
      </c>
      <c r="L15" s="3">
        <f>SUM(OSRRefE14x_2)</f>
        <v>63</v>
      </c>
      <c r="M15" s="3">
        <f>SUM(OSRRefE14x_3)</f>
        <v>63</v>
      </c>
      <c r="N15" s="3">
        <f>SUM(OSRRefE14x_4)</f>
        <v>100</v>
      </c>
      <c r="O15" s="3">
        <f>SUM(OSRRefE14x_5)</f>
        <v>25</v>
      </c>
      <c r="Q15" s="3">
        <f>SUM(OSRRefG14x)</f>
        <v>317.2</v>
      </c>
    </row>
    <row r="16" spans="1:18" s="9" customFormat="1" hidden="1" outlineLevel="1" x14ac:dyDescent="0.3">
      <c r="A16" s="23"/>
      <c r="B16" s="10" t="str">
        <f>CONCATENATE("          ","5000", " - ","PURCHASES @ COST")</f>
        <v xml:space="preserve">          5000 - PURCHASES @ COST</v>
      </c>
      <c r="C16" s="22"/>
      <c r="D16" s="2"/>
      <c r="E16" s="2"/>
      <c r="F16" s="2"/>
      <c r="G16" s="2"/>
      <c r="H16" s="2"/>
      <c r="I16" s="2"/>
      <c r="J16" s="2">
        <v>25</v>
      </c>
      <c r="K16" s="2">
        <v>50</v>
      </c>
      <c r="L16" s="2">
        <v>63</v>
      </c>
      <c r="M16" s="2">
        <v>63</v>
      </c>
      <c r="N16" s="2">
        <v>100</v>
      </c>
      <c r="O16" s="2">
        <v>25</v>
      </c>
      <c r="Q16" s="2">
        <f>SUM(OSRRefD14_0x)+IFERROR(SUM(OSRRefE14_0x),0)</f>
        <v>326</v>
      </c>
    </row>
    <row r="17" spans="1:17" s="9" customFormat="1" hidden="1" outlineLevel="1" x14ac:dyDescent="0.3">
      <c r="A17" s="23"/>
      <c r="B17" s="10" t="str">
        <f>CONCATENATE("          ","5053", " - ","PURCHASES @ COST-FOOD")</f>
        <v xml:space="preserve">          5053 - PURCHASES @ COST-FOOD</v>
      </c>
      <c r="C17" s="22"/>
      <c r="D17" s="2"/>
      <c r="E17" s="2">
        <v>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45</v>
      </c>
    </row>
    <row r="18" spans="1:17" s="9" customFormat="1" hidden="1" outlineLevel="1" x14ac:dyDescent="0.3">
      <c r="A18" s="23"/>
      <c r="B18" s="10" t="str">
        <f>CONCATENATE("          ","5059", " - ","PURCHASES @ COST-FOOD")</f>
        <v xml:space="preserve">          5059 - PURCHASES @ COST-FOOD</v>
      </c>
      <c r="C18" s="22"/>
      <c r="D18" s="2"/>
      <c r="E18" s="2"/>
      <c r="F18" s="2">
        <v>81.2</v>
      </c>
      <c r="G18" s="2">
        <v>-311</v>
      </c>
      <c r="H18" s="2">
        <v>165</v>
      </c>
      <c r="I18" s="2">
        <v>11</v>
      </c>
      <c r="J18" s="2"/>
      <c r="K18" s="2"/>
      <c r="L18" s="2"/>
      <c r="M18" s="2"/>
      <c r="N18" s="2"/>
      <c r="O18" s="2"/>
      <c r="Q18" s="2">
        <f>SUM(OSRRefD14_2x)+IFERROR(SUM(OSRRefE14_2x),0)</f>
        <v>-53.800000000000011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7">
        <f t="shared" ref="D20:O20" si="4">IFERROR(+D10-D15, 0)</f>
        <v>0</v>
      </c>
      <c r="E20" s="7">
        <f t="shared" si="4"/>
        <v>85.35</v>
      </c>
      <c r="F20" s="7">
        <f t="shared" si="4"/>
        <v>-72.459999999999994</v>
      </c>
      <c r="G20" s="7">
        <f t="shared" si="4"/>
        <v>715.53</v>
      </c>
      <c r="H20" s="7">
        <f t="shared" si="4"/>
        <v>-80.650000000000006</v>
      </c>
      <c r="I20" s="7">
        <f t="shared" si="4"/>
        <v>59.75</v>
      </c>
      <c r="J20" s="7">
        <f t="shared" si="4"/>
        <v>25</v>
      </c>
      <c r="K20" s="7">
        <f t="shared" si="4"/>
        <v>50</v>
      </c>
      <c r="L20" s="7">
        <f t="shared" si="4"/>
        <v>62</v>
      </c>
      <c r="M20" s="7">
        <f t="shared" si="4"/>
        <v>62</v>
      </c>
      <c r="N20" s="7">
        <f t="shared" si="4"/>
        <v>100</v>
      </c>
      <c r="O20" s="7">
        <f t="shared" si="4"/>
        <v>25</v>
      </c>
      <c r="Q20" s="7">
        <f>IFERROR(+Q10-Q15, 0)</f>
        <v>1031.52</v>
      </c>
    </row>
    <row r="21" spans="1:17" s="6" customFormat="1" x14ac:dyDescent="0.3">
      <c r="B21" s="16"/>
      <c r="C21" s="16"/>
      <c r="D21" s="4">
        <f t="shared" ref="D21:O21" si="5">IFERROR(D20/D10, 0)</f>
        <v>0</v>
      </c>
      <c r="E21" s="4">
        <f t="shared" si="5"/>
        <v>0.65477560414269276</v>
      </c>
      <c r="F21" s="4">
        <f t="shared" si="5"/>
        <v>-8.2906178489702427</v>
      </c>
      <c r="G21" s="4">
        <f t="shared" si="5"/>
        <v>1.7687934145798829</v>
      </c>
      <c r="H21" s="4">
        <f t="shared" si="5"/>
        <v>-0.9561351511558982</v>
      </c>
      <c r="I21" s="4">
        <f t="shared" si="5"/>
        <v>0.84452296819787986</v>
      </c>
      <c r="J21" s="4">
        <f t="shared" si="5"/>
        <v>0.5</v>
      </c>
      <c r="K21" s="4">
        <f t="shared" si="5"/>
        <v>0.5</v>
      </c>
      <c r="L21" s="4">
        <f t="shared" si="5"/>
        <v>0.496</v>
      </c>
      <c r="M21" s="4">
        <f t="shared" si="5"/>
        <v>0.496</v>
      </c>
      <c r="N21" s="4">
        <f t="shared" si="5"/>
        <v>0.5</v>
      </c>
      <c r="O21" s="4">
        <f t="shared" si="5"/>
        <v>0.5</v>
      </c>
      <c r="P21" s="18"/>
      <c r="Q21" s="4">
        <f>IFERROR(Q20/Q10, 0)</f>
        <v>0.76481404591019631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2">
        <f>SUM(OSRRefD20x_0)</f>
        <v>0</v>
      </c>
      <c r="E23" s="12">
        <f>SUM(OSRRefD20x_1)</f>
        <v>0</v>
      </c>
      <c r="F23" s="12">
        <f>SUM(OSRRefD20x_2)</f>
        <v>172.64</v>
      </c>
      <c r="G23" s="12">
        <f>SUM(OSRRefD20x_3)</f>
        <v>101.4</v>
      </c>
      <c r="H23" s="12">
        <f>SUM(OSRRefD20x_4)</f>
        <v>48.01</v>
      </c>
      <c r="I23" s="12">
        <f>SUM(OSRRefD20x_5)</f>
        <v>44.6</v>
      </c>
      <c r="J23" s="12">
        <f>SUM(OSRRefE20x_0)</f>
        <v>4.5</v>
      </c>
      <c r="K23" s="12">
        <f>SUM(OSRRefE20x_1)</f>
        <v>9</v>
      </c>
      <c r="L23" s="12">
        <f>SUM(OSRRefE20x_2)</f>
        <v>11.25</v>
      </c>
      <c r="M23" s="12">
        <f>SUM(OSRRefE20x_3)</f>
        <v>11.25</v>
      </c>
      <c r="N23" s="12">
        <f>SUM(OSRRefE20x_4)</f>
        <v>18</v>
      </c>
      <c r="O23" s="12">
        <f>SUM(OSRRefE20x_5)</f>
        <v>4.5</v>
      </c>
      <c r="Q23" s="12">
        <f>SUM(OSRRefG20x)</f>
        <v>425.15</v>
      </c>
    </row>
    <row r="24" spans="1:17" s="35" customFormat="1" collapsed="1" x14ac:dyDescent="0.3">
      <c r="A24" s="34"/>
      <c r="B24" s="14" t="str">
        <f>CONCATENATE("     ","Bank/card Fees                                    ")</f>
        <v xml:space="preserve">     Bank/card Fees                                    </v>
      </c>
      <c r="C24" s="14"/>
      <c r="D24" s="1">
        <f>SUM(OSRRefD21_0x_0)</f>
        <v>0</v>
      </c>
      <c r="E24" s="1">
        <f>SUM(OSRRefD21_0x_1)</f>
        <v>0</v>
      </c>
      <c r="F24" s="1">
        <f>SUM(OSRRefD21_0x_2)</f>
        <v>172.64</v>
      </c>
      <c r="G24" s="1">
        <f>SUM(OSRRefD21_0x_3)</f>
        <v>101.4</v>
      </c>
      <c r="H24" s="1">
        <f>SUM(OSRRefD21_0x_4)</f>
        <v>48.01</v>
      </c>
      <c r="I24" s="1">
        <f>SUM(OSRRefD21_0x_5)</f>
        <v>44.6</v>
      </c>
      <c r="J24" s="1">
        <f>SUM(OSRRefE21_0x_0)</f>
        <v>4.5</v>
      </c>
      <c r="K24" s="1">
        <f>SUM(OSRRefE21_0x_1)</f>
        <v>9</v>
      </c>
      <c r="L24" s="1">
        <f>SUM(OSRRefE21_0x_2)</f>
        <v>11.25</v>
      </c>
      <c r="M24" s="1">
        <f>SUM(OSRRefE21_0x_3)</f>
        <v>11.25</v>
      </c>
      <c r="N24" s="1">
        <f>SUM(OSRRefE21_0x_4)</f>
        <v>18</v>
      </c>
      <c r="O24" s="1">
        <f>SUM(OSRRefE21_0x_5)</f>
        <v>4.5</v>
      </c>
      <c r="Q24" s="2">
        <f>SUM(OSRRefD20_0x)+IFERROR(SUM(OSRRefE20_0x),0)</f>
        <v>425.15</v>
      </c>
    </row>
    <row r="25" spans="1:17" s="35" customFormat="1" hidden="1" outlineLevel="1" x14ac:dyDescent="0.3">
      <c r="A25" s="34"/>
      <c r="B25" s="10" t="str">
        <f>CONCATENATE("          ","6381", " - ","BANK/CREDIT CARD FEES")</f>
        <v xml:space="preserve">          6381 - BANK/CREDIT CARD FEES</v>
      </c>
      <c r="C25" s="14"/>
      <c r="D25" s="2"/>
      <c r="E25" s="2"/>
      <c r="F25" s="2">
        <v>172.64</v>
      </c>
      <c r="G25" s="2">
        <v>101.4</v>
      </c>
      <c r="H25" s="2">
        <v>48.01</v>
      </c>
      <c r="I25" s="2">
        <v>44.6</v>
      </c>
      <c r="J25" s="2">
        <v>4.5</v>
      </c>
      <c r="K25" s="2">
        <v>9</v>
      </c>
      <c r="L25" s="2">
        <v>11.25</v>
      </c>
      <c r="M25" s="2">
        <v>11.25</v>
      </c>
      <c r="N25" s="2">
        <v>18</v>
      </c>
      <c r="O25" s="2">
        <v>4.5</v>
      </c>
      <c r="P25" s="9"/>
      <c r="Q25" s="2">
        <f>SUM(OSRRefD21_0_0x)+IFERROR(SUM(OSRRefE21_0_0x),0)</f>
        <v>425.15</v>
      </c>
    </row>
    <row r="26" spans="1:17" s="29" customFormat="1" x14ac:dyDescent="0.3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3">
      <c r="A27" s="23"/>
      <c r="B27" s="16" t="s">
        <v>293</v>
      </c>
      <c r="C27" s="22"/>
      <c r="D27" s="3">
        <f t="shared" ref="D27:I27" si="6">0</f>
        <v>0</v>
      </c>
      <c r="E27" s="3">
        <f t="shared" si="6"/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3">
        <f t="shared" si="6"/>
        <v>0</v>
      </c>
      <c r="J27" s="3"/>
      <c r="K27" s="3"/>
      <c r="L27" s="3"/>
      <c r="M27" s="3"/>
      <c r="N27" s="3"/>
      <c r="O27" s="3"/>
      <c r="Q27" s="2">
        <f>SUM(OSRRefD23_0x)+IFERROR(SUM(OSRRefE23_0x),0)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276</v>
      </c>
      <c r="C29" s="17"/>
      <c r="D29" s="7">
        <f t="shared" ref="D29:O29" si="7">IFERROR(+D20-D23+D27, 0)</f>
        <v>0</v>
      </c>
      <c r="E29" s="7">
        <f t="shared" si="7"/>
        <v>85.35</v>
      </c>
      <c r="F29" s="7">
        <f t="shared" si="7"/>
        <v>-245.09999999999997</v>
      </c>
      <c r="G29" s="7">
        <f t="shared" si="7"/>
        <v>614.13</v>
      </c>
      <c r="H29" s="7">
        <f t="shared" si="7"/>
        <v>-128.66</v>
      </c>
      <c r="I29" s="7">
        <f t="shared" si="7"/>
        <v>15.149999999999999</v>
      </c>
      <c r="J29" s="7">
        <f t="shared" si="7"/>
        <v>20.5</v>
      </c>
      <c r="K29" s="7">
        <f t="shared" si="7"/>
        <v>41</v>
      </c>
      <c r="L29" s="7">
        <f t="shared" si="7"/>
        <v>50.75</v>
      </c>
      <c r="M29" s="7">
        <f t="shared" si="7"/>
        <v>50.75</v>
      </c>
      <c r="N29" s="7">
        <f t="shared" si="7"/>
        <v>82</v>
      </c>
      <c r="O29" s="7">
        <f t="shared" si="7"/>
        <v>20.5</v>
      </c>
      <c r="Q29" s="7">
        <f>IFERROR(+Q20-Q23+Q27, 0)</f>
        <v>606.37</v>
      </c>
    </row>
    <row r="30" spans="1:17" s="6" customFormat="1" x14ac:dyDescent="0.3">
      <c r="B30" s="16"/>
      <c r="C30" s="16"/>
      <c r="D30" s="4">
        <f t="shared" ref="D30:O30" si="8">IFERROR(D29/D10, 0)</f>
        <v>0</v>
      </c>
      <c r="E30" s="4">
        <f t="shared" si="8"/>
        <v>0.65477560414269276</v>
      </c>
      <c r="F30" s="4">
        <f t="shared" si="8"/>
        <v>-28.043478260869531</v>
      </c>
      <c r="G30" s="4">
        <f t="shared" si="8"/>
        <v>1.5181321533631622</v>
      </c>
      <c r="H30" s="4">
        <f t="shared" si="8"/>
        <v>-1.5253112033195022</v>
      </c>
      <c r="I30" s="4">
        <f t="shared" si="8"/>
        <v>0.21413427561837453</v>
      </c>
      <c r="J30" s="4">
        <f t="shared" si="8"/>
        <v>0.41</v>
      </c>
      <c r="K30" s="4">
        <f t="shared" si="8"/>
        <v>0.41</v>
      </c>
      <c r="L30" s="4">
        <f t="shared" si="8"/>
        <v>0.40600000000000003</v>
      </c>
      <c r="M30" s="4">
        <f t="shared" si="8"/>
        <v>0.40600000000000003</v>
      </c>
      <c r="N30" s="4">
        <f t="shared" si="8"/>
        <v>0.41</v>
      </c>
      <c r="O30" s="4">
        <f t="shared" si="8"/>
        <v>0.41</v>
      </c>
      <c r="P30" s="18"/>
      <c r="Q30" s="4">
        <f>IFERROR(Q29/Q10, 0)</f>
        <v>0.44958924016845603</v>
      </c>
    </row>
    <row r="31" spans="1:17" x14ac:dyDescent="0.3">
      <c r="A31" s="5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3">
      <c r="A32" s="25"/>
      <c r="B32" s="6" t="s">
        <v>125</v>
      </c>
      <c r="C32" s="6"/>
      <c r="D32" s="3"/>
      <c r="E32" s="3">
        <v>19.48</v>
      </c>
      <c r="F32" s="3">
        <v>-2.2599999999999998</v>
      </c>
      <c r="G32" s="3">
        <v>45.62</v>
      </c>
      <c r="H32" s="3">
        <v>11.96</v>
      </c>
      <c r="I32" s="3">
        <v>9.31</v>
      </c>
      <c r="J32" s="3">
        <v>5</v>
      </c>
      <c r="K32" s="3">
        <v>11</v>
      </c>
      <c r="L32" s="3">
        <v>15</v>
      </c>
      <c r="M32" s="3">
        <v>16</v>
      </c>
      <c r="N32" s="3">
        <v>25</v>
      </c>
      <c r="O32" s="3">
        <v>-4</v>
      </c>
      <c r="Q32" s="2">
        <f>SUM(OSRRefD28_0x)+IFERROR(SUM(OSRRefE28_0x),0)</f>
        <v>152.11000000000001</v>
      </c>
    </row>
    <row r="33" spans="1:17" x14ac:dyDescent="0.3">
      <c r="A33" s="5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124</v>
      </c>
      <c r="C34" s="17"/>
      <c r="D34" s="8">
        <f t="shared" ref="D34:O34" si="9">IFERROR(+D29-D32, 0)</f>
        <v>0</v>
      </c>
      <c r="E34" s="8">
        <f t="shared" si="9"/>
        <v>65.86999999999999</v>
      </c>
      <c r="F34" s="8">
        <f t="shared" si="9"/>
        <v>-242.83999999999997</v>
      </c>
      <c r="G34" s="8">
        <f t="shared" si="9"/>
        <v>568.51</v>
      </c>
      <c r="H34" s="8">
        <f t="shared" si="9"/>
        <v>-140.62</v>
      </c>
      <c r="I34" s="8">
        <f t="shared" si="9"/>
        <v>5.8399999999999981</v>
      </c>
      <c r="J34" s="8">
        <f t="shared" si="9"/>
        <v>15.5</v>
      </c>
      <c r="K34" s="8">
        <f t="shared" si="9"/>
        <v>30</v>
      </c>
      <c r="L34" s="8">
        <f t="shared" si="9"/>
        <v>35.75</v>
      </c>
      <c r="M34" s="8">
        <f t="shared" si="9"/>
        <v>34.75</v>
      </c>
      <c r="N34" s="8">
        <f t="shared" si="9"/>
        <v>57</v>
      </c>
      <c r="O34" s="8">
        <f t="shared" si="9"/>
        <v>24.5</v>
      </c>
      <c r="Q34" s="8">
        <f>IFERROR(+Q29-Q32, 0)</f>
        <v>454.26</v>
      </c>
    </row>
    <row r="35" spans="1:17" ht="15" thickTop="1" x14ac:dyDescent="0.3">
      <c r="A35" s="5"/>
      <c r="B35" s="5"/>
      <c r="C35" s="5"/>
      <c r="D35" s="4">
        <f t="shared" ref="D35:O35" si="10">IFERROR(D34/D10, 0)</f>
        <v>0</v>
      </c>
      <c r="E35" s="4">
        <f t="shared" si="10"/>
        <v>0.50533179900268499</v>
      </c>
      <c r="F35" s="4">
        <f t="shared" si="10"/>
        <v>-27.784897025171592</v>
      </c>
      <c r="G35" s="4">
        <f t="shared" si="10"/>
        <v>1.4053593058611229</v>
      </c>
      <c r="H35" s="4">
        <f t="shared" si="10"/>
        <v>-1.6671013633669236</v>
      </c>
      <c r="I35" s="4">
        <f t="shared" si="10"/>
        <v>8.2544169611307394E-2</v>
      </c>
      <c r="J35" s="4">
        <f t="shared" si="10"/>
        <v>0.31</v>
      </c>
      <c r="K35" s="4">
        <f t="shared" si="10"/>
        <v>0.3</v>
      </c>
      <c r="L35" s="4">
        <f t="shared" si="10"/>
        <v>0.28599999999999998</v>
      </c>
      <c r="M35" s="4">
        <f t="shared" si="10"/>
        <v>0.27800000000000002</v>
      </c>
      <c r="N35" s="4">
        <f t="shared" si="10"/>
        <v>0.28499999999999998</v>
      </c>
      <c r="O35" s="4">
        <f t="shared" si="10"/>
        <v>0.49</v>
      </c>
      <c r="P35" s="18"/>
      <c r="Q35" s="4">
        <f>IFERROR(Q34/Q10, 0)</f>
        <v>0.3368082329912806</v>
      </c>
    </row>
    <row r="36" spans="1:17" x14ac:dyDescent="0.3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" thickBot="1" x14ac:dyDescent="0.35">
      <c r="A38" s="6"/>
      <c r="B38" s="17" t="s">
        <v>294</v>
      </c>
      <c r="C38" s="17"/>
      <c r="D38" s="8">
        <f t="shared" ref="D38:O38" si="11">IFERROR(SUM(D34:D37), 0)</f>
        <v>0</v>
      </c>
      <c r="E38" s="8">
        <f t="shared" si="11"/>
        <v>66.37533179900268</v>
      </c>
      <c r="F38" s="8">
        <f t="shared" si="11"/>
        <v>-270.62489702517155</v>
      </c>
      <c r="G38" s="8">
        <f t="shared" si="11"/>
        <v>569.9153593058611</v>
      </c>
      <c r="H38" s="8">
        <f t="shared" si="11"/>
        <v>-142.28710136336693</v>
      </c>
      <c r="I38" s="8">
        <f t="shared" si="11"/>
        <v>5.9225441696113057</v>
      </c>
      <c r="J38" s="8">
        <f t="shared" si="11"/>
        <v>15.81</v>
      </c>
      <c r="K38" s="8">
        <f t="shared" si="11"/>
        <v>30.3</v>
      </c>
      <c r="L38" s="8">
        <f t="shared" si="11"/>
        <v>36.036000000000001</v>
      </c>
      <c r="M38" s="8">
        <f t="shared" si="11"/>
        <v>35.027999999999999</v>
      </c>
      <c r="N38" s="8">
        <f t="shared" si="11"/>
        <v>57.284999999999997</v>
      </c>
      <c r="O38" s="8">
        <f t="shared" si="11"/>
        <v>24.99</v>
      </c>
      <c r="Q38" s="8">
        <f>IFERROR(SUM(Q34:Q37), 0)</f>
        <v>454.59680823299129</v>
      </c>
    </row>
    <row r="39" spans="1:17" ht="15" thickTop="1" x14ac:dyDescent="0.3">
      <c r="A39" s="5"/>
      <c r="C39" s="5"/>
      <c r="D39" s="4">
        <f t="shared" ref="D39:O39" si="12">IFERROR(D38/D10, 0)</f>
        <v>0</v>
      </c>
      <c r="E39" s="4">
        <f t="shared" si="12"/>
        <v>0.50920852933642258</v>
      </c>
      <c r="F39" s="4">
        <f t="shared" si="12"/>
        <v>-30.963947028051631</v>
      </c>
      <c r="G39" s="4">
        <f t="shared" si="12"/>
        <v>1.4088333604574719</v>
      </c>
      <c r="H39" s="4">
        <f t="shared" si="12"/>
        <v>-1.6868654577755418</v>
      </c>
      <c r="I39" s="4">
        <f t="shared" si="12"/>
        <v>8.3710871655283473E-2</v>
      </c>
      <c r="J39" s="4">
        <f t="shared" si="12"/>
        <v>0.31620000000000004</v>
      </c>
      <c r="K39" s="4">
        <f t="shared" si="12"/>
        <v>0.30299999999999999</v>
      </c>
      <c r="L39" s="4">
        <f t="shared" si="12"/>
        <v>0.28828799999999999</v>
      </c>
      <c r="M39" s="4">
        <f t="shared" si="12"/>
        <v>0.28022399999999997</v>
      </c>
      <c r="N39" s="4">
        <f t="shared" si="12"/>
        <v>0.28642499999999999</v>
      </c>
      <c r="O39" s="4">
        <f t="shared" si="12"/>
        <v>0.49979999999999997</v>
      </c>
      <c r="P39" s="18"/>
      <c r="Q39" s="4">
        <f>IFERROR(Q38/Q10, 0)</f>
        <v>0.33705795734695954</v>
      </c>
    </row>
    <row r="40" spans="1:17" x14ac:dyDescent="0.3">
      <c r="A40" s="5"/>
      <c r="B40" s="28">
        <v>44575.850692245367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3">
      <c r="A41" s="5"/>
      <c r="B41" s="26" t="s">
        <v>54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3">
      <c r="A42" s="5"/>
      <c r="B42" s="3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3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199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42689.659999999996</v>
      </c>
      <c r="E10" s="3">
        <f>SUM(OSRRefD11x_1)</f>
        <v>535502.98</v>
      </c>
      <c r="F10" s="3">
        <f>SUM(OSRRefD11x_2)</f>
        <v>1556759.41</v>
      </c>
      <c r="G10" s="3">
        <f>SUM(OSRRefD11x_3)</f>
        <v>1790638.6</v>
      </c>
      <c r="H10" s="3">
        <f>SUM(OSRRefD11x_4)</f>
        <v>1387530.02</v>
      </c>
      <c r="I10" s="3">
        <f>SUM(OSRRefD11x_5)</f>
        <v>1068737.23</v>
      </c>
      <c r="J10" s="3">
        <f>SUM(OSRRefE11x_0)</f>
        <v>595049</v>
      </c>
      <c r="K10" s="3">
        <f>SUM(OSRRefE11x_1)</f>
        <v>1523728</v>
      </c>
      <c r="L10" s="3">
        <f>SUM(OSRRefE11x_2)</f>
        <v>1462369</v>
      </c>
      <c r="M10" s="3">
        <f>SUM(OSRRefE11x_3)</f>
        <v>1474890</v>
      </c>
      <c r="N10" s="3">
        <f>SUM(OSRRefE11x_4)</f>
        <v>850716</v>
      </c>
      <c r="O10" s="3">
        <f>SUM(OSRRefE11x_5)</f>
        <v>84576</v>
      </c>
      <c r="P10" s="24"/>
      <c r="Q10" s="3">
        <f>SUM(OSRRefG11x)</f>
        <v>12373185.9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719451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/>
      <c r="K12" s="2"/>
      <c r="L12" s="2"/>
      <c r="M12" s="2"/>
      <c r="N12" s="2"/>
      <c r="O12" s="2"/>
      <c r="Q12" s="2">
        <f>SUM(OSRRefD11_1x)+IFERROR(SUM(OSRRefE11_1x),0)</f>
        <v>146982.79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>--106.64</f>
        <v>106.64</v>
      </c>
      <c r="E13" s="2">
        <f>--384.19</f>
        <v>384.19</v>
      </c>
      <c r="F13" s="2">
        <f>--644.1</f>
        <v>644.1</v>
      </c>
      <c r="G13" s="2">
        <f>--4910.57</f>
        <v>4910.57</v>
      </c>
      <c r="H13" s="2">
        <f>--1953.51</f>
        <v>1953.51</v>
      </c>
      <c r="I13" s="2">
        <f>--1964.44</f>
        <v>1964.44</v>
      </c>
      <c r="J13" s="2"/>
      <c r="K13" s="2"/>
      <c r="L13" s="2"/>
      <c r="M13" s="2"/>
      <c r="N13" s="2"/>
      <c r="O13" s="2"/>
      <c r="Q13" s="2">
        <f>SUM(OSRRefD11_2x)+IFERROR(SUM(OSRRefE11_2x),0)</f>
        <v>9963.4500000000007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ref="D14:I14" si="1">0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v>525883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5271877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--28671.38</f>
        <v>28671.38</v>
      </c>
      <c r="E15" s="2">
        <f>--498691.97</f>
        <v>498691.97</v>
      </c>
      <c r="F15" s="2">
        <f>--1509200.13</f>
        <v>1509200.13</v>
      </c>
      <c r="G15" s="2">
        <f>--1734326.4</f>
        <v>1734326.4</v>
      </c>
      <c r="H15" s="2">
        <f>--1356110.78</f>
        <v>1356110.78</v>
      </c>
      <c r="I15" s="2">
        <f>--1041445.01</f>
        <v>1041445.01</v>
      </c>
      <c r="J15" s="2"/>
      <c r="K15" s="2"/>
      <c r="L15" s="2"/>
      <c r="M15" s="2"/>
      <c r="N15" s="2"/>
      <c r="O15" s="2"/>
      <c r="Q15" s="2">
        <f>SUM(OSRRefD11_4x)+IFERROR(SUM(OSRRefE11_4x),0)</f>
        <v>6168445.6699999999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--3280.71</f>
        <v>3280.71</v>
      </c>
      <c r="E16" s="2">
        <f>--15787.31</f>
        <v>15787.31</v>
      </c>
      <c r="F16" s="2">
        <f>--13209.31</f>
        <v>13209.31</v>
      </c>
      <c r="G16" s="2">
        <f>--12127.37</f>
        <v>12127.37</v>
      </c>
      <c r="H16" s="2">
        <f>--6365.13</f>
        <v>6365.13</v>
      </c>
      <c r="I16" s="2">
        <f>--5696.16</f>
        <v>5696.16</v>
      </c>
      <c r="J16" s="2"/>
      <c r="K16" s="2"/>
      <c r="L16" s="2"/>
      <c r="M16" s="2"/>
      <c r="N16" s="2"/>
      <c r="O16" s="2"/>
      <c r="Q16" s="2">
        <f>SUM(OSRRefD11_5x)+IFERROR(SUM(OSRRefE11_5x),0)</f>
        <v>56465.990000000005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3"/>
      <c r="B18" s="16" t="s">
        <v>218</v>
      </c>
      <c r="C18" s="22"/>
      <c r="D18" s="3">
        <f>SUM(OSRRefD14x_0)</f>
        <v>22188.22</v>
      </c>
      <c r="E18" s="3">
        <f>SUM(OSRRefD14x_1)</f>
        <v>189344.45</v>
      </c>
      <c r="F18" s="3">
        <f>SUM(OSRRefD14x_2)</f>
        <v>408049.86</v>
      </c>
      <c r="G18" s="3">
        <f>SUM(OSRRefD14x_3)</f>
        <v>524747.68000000005</v>
      </c>
      <c r="H18" s="3">
        <f>SUM(OSRRefD14x_4)</f>
        <v>325183.37</v>
      </c>
      <c r="I18" s="3">
        <f>SUM(OSRRefD14x_5)</f>
        <v>268273.78000000003</v>
      </c>
      <c r="J18" s="3">
        <f>SUM(OSRRefE14x_0)</f>
        <v>182501</v>
      </c>
      <c r="K18" s="3">
        <f>SUM(OSRRefE14x_1)</f>
        <v>424674</v>
      </c>
      <c r="L18" s="3">
        <f>SUM(OSRRefE14x_2)</f>
        <v>419319</v>
      </c>
      <c r="M18" s="3">
        <f>SUM(OSRRefE14x_3)</f>
        <v>424861</v>
      </c>
      <c r="N18" s="3">
        <f>SUM(OSRRefE14x_4)</f>
        <v>257880</v>
      </c>
      <c r="O18" s="3">
        <f>SUM(OSRRefE14x_5)</f>
        <v>27475</v>
      </c>
      <c r="Q18" s="3">
        <f>SUM(OSRRefG14x)</f>
        <v>3474497.3600000003</v>
      </c>
    </row>
    <row r="19" spans="1:17" s="9" customFormat="1" hidden="1" outlineLevel="1" x14ac:dyDescent="0.3">
      <c r="A19" s="23"/>
      <c r="B19" s="10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/>
      <c r="J19" s="2">
        <v>182501</v>
      </c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1736710</v>
      </c>
    </row>
    <row r="20" spans="1:17" s="9" customFormat="1" hidden="1" outlineLevel="1" x14ac:dyDescent="0.3">
      <c r="A20" s="23"/>
      <c r="B20" s="10" t="str">
        <f>CONCATENATE("          ","5053", " - ","PURCHASES @ COST-FOOD")</f>
        <v xml:space="preserve">          5053 - PURCHASES @ COST-FOOD</v>
      </c>
      <c r="C20" s="22"/>
      <c r="D20" s="2">
        <v>26193.22</v>
      </c>
      <c r="E20" s="2">
        <v>256776.45</v>
      </c>
      <c r="F20" s="2">
        <v>409942.26</v>
      </c>
      <c r="G20" s="2">
        <v>514182.2</v>
      </c>
      <c r="H20" s="2">
        <v>316830.11</v>
      </c>
      <c r="I20" s="2">
        <v>204500.45</v>
      </c>
      <c r="J20" s="2"/>
      <c r="K20" s="2"/>
      <c r="L20" s="2"/>
      <c r="M20" s="2"/>
      <c r="N20" s="2"/>
      <c r="O20" s="2"/>
      <c r="Q20" s="2">
        <f>SUM(OSRRefD14_1x)+IFERROR(SUM(OSRRefE14_1x),0)</f>
        <v>1728424.6900000002</v>
      </c>
    </row>
    <row r="21" spans="1:17" s="9" customFormat="1" hidden="1" outlineLevel="1" x14ac:dyDescent="0.3">
      <c r="A21" s="23"/>
      <c r="B21" s="10" t="str">
        <f>CONCATENATE("          ","5059", " - ","PURCHASES @ COST-FOOD")</f>
        <v xml:space="preserve">          5059 - PURCHASES @ COST-FOOD</v>
      </c>
      <c r="C21" s="22"/>
      <c r="D21" s="2">
        <v>-4005</v>
      </c>
      <c r="E21" s="2">
        <v>-67432</v>
      </c>
      <c r="F21" s="2">
        <v>-1892.4</v>
      </c>
      <c r="G21" s="2">
        <v>10565.48</v>
      </c>
      <c r="H21" s="2">
        <v>8353.26</v>
      </c>
      <c r="I21" s="2">
        <v>63773.33</v>
      </c>
      <c r="J21" s="2"/>
      <c r="K21" s="2"/>
      <c r="L21" s="2"/>
      <c r="M21" s="2"/>
      <c r="N21" s="2"/>
      <c r="O21" s="2"/>
      <c r="Q21" s="2">
        <f>SUM(OSRRefD14_2x)+IFERROR(SUM(OSRRefE14_2x),0)</f>
        <v>9362.6700000000055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7">
        <f t="shared" ref="D23:O23" si="2">IFERROR(+D10-D18, 0)</f>
        <v>20501.439999999995</v>
      </c>
      <c r="E23" s="7">
        <f t="shared" si="2"/>
        <v>346158.52999999997</v>
      </c>
      <c r="F23" s="7">
        <f t="shared" si="2"/>
        <v>1148709.5499999998</v>
      </c>
      <c r="G23" s="7">
        <f t="shared" si="2"/>
        <v>1265890.92</v>
      </c>
      <c r="H23" s="7">
        <f t="shared" si="2"/>
        <v>1062346.6499999999</v>
      </c>
      <c r="I23" s="7">
        <f t="shared" si="2"/>
        <v>800463.45</v>
      </c>
      <c r="J23" s="7">
        <f t="shared" si="2"/>
        <v>412548</v>
      </c>
      <c r="K23" s="7">
        <f t="shared" si="2"/>
        <v>1099054</v>
      </c>
      <c r="L23" s="7">
        <f t="shared" si="2"/>
        <v>1043050</v>
      </c>
      <c r="M23" s="7">
        <f t="shared" si="2"/>
        <v>1050029</v>
      </c>
      <c r="N23" s="7">
        <f t="shared" si="2"/>
        <v>592836</v>
      </c>
      <c r="O23" s="7">
        <f t="shared" si="2"/>
        <v>57101</v>
      </c>
      <c r="Q23" s="7">
        <f>IFERROR(+Q10-Q18, 0)</f>
        <v>8898688.5399999991</v>
      </c>
    </row>
    <row r="24" spans="1:17" s="6" customFormat="1" x14ac:dyDescent="0.3">
      <c r="B24" s="16"/>
      <c r="C24" s="16"/>
      <c r="D24" s="4">
        <f t="shared" ref="D24:O24" si="3">IFERROR(D23/D10, 0)</f>
        <v>0.48024369367195702</v>
      </c>
      <c r="E24" s="4">
        <f t="shared" si="3"/>
        <v>0.64641756055213728</v>
      </c>
      <c r="F24" s="4">
        <f t="shared" si="3"/>
        <v>0.73788508527467311</v>
      </c>
      <c r="G24" s="4">
        <f t="shared" si="3"/>
        <v>0.70694942016775464</v>
      </c>
      <c r="H24" s="4">
        <f t="shared" si="3"/>
        <v>0.76563867785721851</v>
      </c>
      <c r="I24" s="4">
        <f t="shared" si="3"/>
        <v>0.74898059834595632</v>
      </c>
      <c r="J24" s="4">
        <f t="shared" si="3"/>
        <v>0.6933008878260446</v>
      </c>
      <c r="K24" s="4">
        <f t="shared" si="3"/>
        <v>0.72129277666355152</v>
      </c>
      <c r="L24" s="4">
        <f t="shared" si="3"/>
        <v>0.713260469826699</v>
      </c>
      <c r="M24" s="4">
        <f t="shared" si="3"/>
        <v>0.71193716141542762</v>
      </c>
      <c r="N24" s="4">
        <f t="shared" si="3"/>
        <v>0.69686710958768849</v>
      </c>
      <c r="O24" s="4">
        <f t="shared" si="3"/>
        <v>0.67514424895951575</v>
      </c>
      <c r="P24" s="18"/>
      <c r="Q24" s="4">
        <f>IFERROR(Q23/Q10, 0)</f>
        <v>0.71919137172262149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2">
        <f>SUM(OSRRefD20x_0)</f>
        <v>340481.02000000008</v>
      </c>
      <c r="E26" s="12">
        <f>SUM(OSRRefD20x_1)</f>
        <v>515004.69000000012</v>
      </c>
      <c r="F26" s="12">
        <f>SUM(OSRRefD20x_2)</f>
        <v>673495.39000000013</v>
      </c>
      <c r="G26" s="12">
        <f>SUM(OSRRefD20x_3)</f>
        <v>961020.02000000014</v>
      </c>
      <c r="H26" s="12">
        <f>SUM(OSRRefD20x_4)</f>
        <v>647580.8899999999</v>
      </c>
      <c r="I26" s="12">
        <f>SUM(OSRRefD20x_5)</f>
        <v>635803.43999999971</v>
      </c>
      <c r="J26" s="12">
        <f>SUM(OSRRefE20x_0)</f>
        <v>709754.28774074814</v>
      </c>
      <c r="K26" s="12">
        <f>SUM(OSRRefE20x_1)</f>
        <v>778700.78251576913</v>
      </c>
      <c r="L26" s="12">
        <f>SUM(OSRRefE20x_2)</f>
        <v>769299.55216079124</v>
      </c>
      <c r="M26" s="12">
        <f>SUM(OSRRefE20x_3)</f>
        <v>849065.69687074062</v>
      </c>
      <c r="N26" s="12">
        <f>SUM(OSRRefE20x_4)</f>
        <v>624908.43364127865</v>
      </c>
      <c r="O26" s="12">
        <f>SUM(OSRRefE20x_5)</f>
        <v>440709.70111112983</v>
      </c>
      <c r="Q26" s="12">
        <f>SUM(OSRRefG20x)</f>
        <v>7945823.9040404605</v>
      </c>
    </row>
    <row r="27" spans="1:17" s="35" customFormat="1" collapsed="1" x14ac:dyDescent="0.3">
      <c r="A27" s="34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SUM(OSRRefD21_0x_1)</f>
        <v>103884.97</v>
      </c>
      <c r="F27" s="1">
        <f>SUM(OSRRefD21_0x_2)</f>
        <v>115647.20999999999</v>
      </c>
      <c r="G27" s="1">
        <f>SUM(OSRRefD21_0x_3)</f>
        <v>142505.12</v>
      </c>
      <c r="H27" s="1">
        <f>SUM(OSRRefD21_0x_4)</f>
        <v>117729.47000000002</v>
      </c>
      <c r="I27" s="1">
        <f>SUM(OSRRefD21_0x_5)</f>
        <v>115967.54</v>
      </c>
      <c r="J27" s="1">
        <f>SUM(OSRRefE21_0x_0)</f>
        <v>156487.10588344061</v>
      </c>
      <c r="K27" s="1">
        <f>SUM(OSRRefE21_0x_1)</f>
        <v>140416.74536192298</v>
      </c>
      <c r="L27" s="1">
        <f>SUM(OSRRefE21_0x_2)</f>
        <v>139201.76016694517</v>
      </c>
      <c r="M27" s="1">
        <f>SUM(OSRRefE21_0x_3)</f>
        <v>164429.15691343302</v>
      </c>
      <c r="N27" s="1">
        <f>SUM(OSRRefE21_0x_4)</f>
        <v>132753.21966743263</v>
      </c>
      <c r="O27" s="1">
        <f>SUM(OSRRefE21_0x_5)</f>
        <v>125405.31411728368</v>
      </c>
      <c r="Q27" s="2">
        <f>SUM(OSRRefD20_0x)+IFERROR(SUM(OSRRefE20_0x),0)</f>
        <v>1547562.1921104579</v>
      </c>
    </row>
    <row r="28" spans="1:17" s="35" customFormat="1" hidden="1" outlineLevel="1" x14ac:dyDescent="0.3">
      <c r="A28" s="34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13854.91</v>
      </c>
      <c r="F28" s="2">
        <v>18130.73</v>
      </c>
      <c r="G28" s="2">
        <v>25526.19</v>
      </c>
      <c r="H28" s="2">
        <v>16259.55</v>
      </c>
      <c r="I28" s="2">
        <v>15583.16</v>
      </c>
      <c r="J28" s="2">
        <v>18831.8723673637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196435.73128561222</v>
      </c>
    </row>
    <row r="29" spans="1:17" s="35" customFormat="1" hidden="1" outlineLevel="1" x14ac:dyDescent="0.3">
      <c r="A29" s="34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6025.09</v>
      </c>
      <c r="F29" s="2">
        <v>9879.5499999999993</v>
      </c>
      <c r="G29" s="2">
        <v>15861.43</v>
      </c>
      <c r="H29" s="2">
        <v>10652.62</v>
      </c>
      <c r="I29" s="2">
        <v>10323.07</v>
      </c>
      <c r="J29" s="2">
        <v>13818.7420245415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136452.32233690994</v>
      </c>
    </row>
    <row r="30" spans="1:17" s="35" customFormat="1" hidden="1" outlineLevel="1" x14ac:dyDescent="0.3">
      <c r="A30" s="34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54726.42</v>
      </c>
      <c r="F30" s="2">
        <v>57185.05</v>
      </c>
      <c r="G30" s="2">
        <v>54891.82</v>
      </c>
      <c r="H30" s="2">
        <v>57555.43</v>
      </c>
      <c r="I30" s="2">
        <v>56887.35</v>
      </c>
      <c r="J30" s="2">
        <v>87938.323076923101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818001.07615384611</v>
      </c>
    </row>
    <row r="31" spans="1:17" s="35" customFormat="1" hidden="1" outlineLevel="1" x14ac:dyDescent="0.3">
      <c r="A31" s="34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464.13</v>
      </c>
      <c r="F31" s="2">
        <v>743.81</v>
      </c>
      <c r="G31" s="2">
        <v>1189.1199999999999</v>
      </c>
      <c r="H31" s="2">
        <v>799.48</v>
      </c>
      <c r="I31" s="2">
        <v>775.43</v>
      </c>
      <c r="J31" s="2">
        <v>765.68227576615402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8710.0029790900007</v>
      </c>
    </row>
    <row r="32" spans="1:17" s="35" customFormat="1" hidden="1" outlineLevel="1" x14ac:dyDescent="0.3">
      <c r="A32" s="34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6888.55</v>
      </c>
      <c r="F32" s="2">
        <v>7282.93</v>
      </c>
      <c r="G32" s="2">
        <v>10630.59</v>
      </c>
      <c r="H32" s="2">
        <v>7341.91</v>
      </c>
      <c r="I32" s="2">
        <v>7758.72</v>
      </c>
      <c r="J32" s="2">
        <v>8320.4133384615507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89695.40936000002</v>
      </c>
    </row>
    <row r="33" spans="1:17" s="35" customFormat="1" hidden="1" outlineLevel="1" x14ac:dyDescent="0.3">
      <c r="A33" s="34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3">
      <c r="A34" s="34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>
        <v>2188.98</v>
      </c>
      <c r="F34" s="2">
        <v>1146.68</v>
      </c>
      <c r="G34" s="2">
        <v>1868.11</v>
      </c>
      <c r="H34" s="2">
        <v>1804.57</v>
      </c>
      <c r="I34" s="2">
        <v>1654.25</v>
      </c>
      <c r="J34" s="2"/>
      <c r="K34" s="2"/>
      <c r="L34" s="2"/>
      <c r="M34" s="2"/>
      <c r="N34" s="2"/>
      <c r="O34" s="2"/>
      <c r="P34" s="9"/>
      <c r="Q34" s="2">
        <f>SUM(OSRRefD21_0_6x)+IFERROR(SUM(OSRRefE21_0_6x),0)</f>
        <v>9944.23</v>
      </c>
    </row>
    <row r="35" spans="1:17" s="35" customFormat="1" hidden="1" outlineLevel="1" x14ac:dyDescent="0.3">
      <c r="A35" s="34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9698.2900000000009</v>
      </c>
      <c r="F35" s="2">
        <v>10120.81</v>
      </c>
      <c r="G35" s="2">
        <v>14584.64</v>
      </c>
      <c r="H35" s="2">
        <v>10002.56</v>
      </c>
      <c r="I35" s="2">
        <v>10443.58</v>
      </c>
      <c r="J35" s="2">
        <v>10048.1787636923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116593.40443199995</v>
      </c>
    </row>
    <row r="36" spans="1:17" s="35" customFormat="1" hidden="1" outlineLevel="1" x14ac:dyDescent="0.3">
      <c r="A36" s="34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6415.36</v>
      </c>
      <c r="F36" s="2">
        <v>7033.59</v>
      </c>
      <c r="G36" s="2">
        <v>10591.47</v>
      </c>
      <c r="H36" s="2">
        <v>7527.43</v>
      </c>
      <c r="I36" s="2">
        <v>7680.78</v>
      </c>
      <c r="J36" s="2">
        <v>10418.8940366923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104881.67556299988</v>
      </c>
    </row>
    <row r="37" spans="1:17" s="35" customFormat="1" hidden="1" outlineLevel="1" x14ac:dyDescent="0.3">
      <c r="A37" s="34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3623.24</v>
      </c>
      <c r="F37" s="2">
        <v>4124.0600000000004</v>
      </c>
      <c r="G37" s="2">
        <v>7361.75</v>
      </c>
      <c r="H37" s="2">
        <v>5785.92</v>
      </c>
      <c r="I37" s="2">
        <v>4861.2</v>
      </c>
      <c r="J37" s="2">
        <v>6345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66848.34</v>
      </c>
    </row>
    <row r="38" spans="1:17" s="35" customFormat="1" collapsed="1" x14ac:dyDescent="0.3">
      <c r="A38" s="34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SUM(OSRRefD21_1x_1)</f>
        <v>200137.06</v>
      </c>
      <c r="F38" s="1">
        <f>SUM(OSRRefD21_1x_2)</f>
        <v>295334.95</v>
      </c>
      <c r="G38" s="1">
        <f>SUM(OSRRefD21_1x_3)</f>
        <v>469772.13999999996</v>
      </c>
      <c r="H38" s="1">
        <f>SUM(OSRRefD21_1x_4)</f>
        <v>299283.51</v>
      </c>
      <c r="I38" s="1">
        <f>SUM(OSRRefD21_1x_5)</f>
        <v>308186.99999999994</v>
      </c>
      <c r="J38" s="1">
        <f>SUM(OSRRefE21_1x_0)</f>
        <v>345566.18185730756</v>
      </c>
      <c r="K38" s="1">
        <f>SUM(OSRRefE21_1x_1)</f>
        <v>377635.03715384612</v>
      </c>
      <c r="L38" s="1">
        <f>SUM(OSRRefE21_1x_2)</f>
        <v>372626.79199384607</v>
      </c>
      <c r="M38" s="1">
        <f>SUM(OSRRefE21_1x_3)</f>
        <v>425241.53995730763</v>
      </c>
      <c r="N38" s="1">
        <f>SUM(OSRRefE21_1x_4)</f>
        <v>286898.21397384605</v>
      </c>
      <c r="O38" s="1">
        <f>SUM(OSRRefE21_1x_5)</f>
        <v>183263.38699384613</v>
      </c>
      <c r="Q38" s="2">
        <f>SUM(OSRRefD20_1x)+IFERROR(SUM(OSRRefE20_1x),0)</f>
        <v>3716744.3019299996</v>
      </c>
    </row>
    <row r="39" spans="1:17" s="35" customFormat="1" hidden="1" outlineLevel="1" x14ac:dyDescent="0.3">
      <c r="A39" s="34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17814.96</v>
      </c>
      <c r="F39" s="2">
        <v>18131.38</v>
      </c>
      <c r="G39" s="2">
        <v>21715.45</v>
      </c>
      <c r="H39" s="2">
        <v>17129.88</v>
      </c>
      <c r="I39" s="2">
        <v>19788.48</v>
      </c>
      <c r="J39" s="2">
        <v>12835.384615384601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186359.97</v>
      </c>
    </row>
    <row r="40" spans="1:17" s="35" customFormat="1" hidden="1" outlineLevel="1" x14ac:dyDescent="0.3">
      <c r="A40" s="34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52220.07</v>
      </c>
      <c r="F40" s="2">
        <v>61046.720000000001</v>
      </c>
      <c r="G40" s="2">
        <v>72337.210000000006</v>
      </c>
      <c r="H40" s="2">
        <v>57111.1</v>
      </c>
      <c r="I40" s="2">
        <v>58135.25</v>
      </c>
      <c r="J40" s="2">
        <v>77521.928951922993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762811.84054999962</v>
      </c>
    </row>
    <row r="41" spans="1:17" s="35" customFormat="1" hidden="1" outlineLevel="1" x14ac:dyDescent="0.3">
      <c r="A41" s="34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3">
      <c r="A42" s="34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56820.800000000003</v>
      </c>
      <c r="F42" s="2">
        <v>100733.54</v>
      </c>
      <c r="G42" s="2">
        <v>144397.54999999999</v>
      </c>
      <c r="H42" s="2">
        <v>92332.62</v>
      </c>
      <c r="I42" s="2">
        <v>76820.289999999994</v>
      </c>
      <c r="J42" s="2">
        <v>138048.94144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1225331.6660799999</v>
      </c>
    </row>
    <row r="43" spans="1:17" s="35" customFormat="1" hidden="1" outlineLevel="1" x14ac:dyDescent="0.3">
      <c r="A43" s="34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19916.96</v>
      </c>
      <c r="F43" s="2">
        <v>51606.39</v>
      </c>
      <c r="G43" s="2">
        <v>142550.01999999999</v>
      </c>
      <c r="H43" s="2">
        <v>33238.57</v>
      </c>
      <c r="I43" s="2">
        <v>56138.93</v>
      </c>
      <c r="J43" s="2">
        <v>26529.3933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492964.5245</v>
      </c>
    </row>
    <row r="44" spans="1:17" s="35" customFormat="1" hidden="1" outlineLevel="1" x14ac:dyDescent="0.3">
      <c r="A44" s="34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3">
      <c r="A45" s="34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51734.81</v>
      </c>
      <c r="F45" s="2">
        <v>60858.720000000001</v>
      </c>
      <c r="G45" s="2">
        <v>75104.69</v>
      </c>
      <c r="H45" s="2">
        <v>73348.25</v>
      </c>
      <c r="I45" s="2">
        <v>66282.009999999995</v>
      </c>
      <c r="J45" s="2">
        <v>1415.6956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349626.10800000001</v>
      </c>
    </row>
    <row r="46" spans="1:17" s="35" customFormat="1" hidden="1" outlineLevel="1" x14ac:dyDescent="0.3">
      <c r="A46" s="34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1629.46</v>
      </c>
      <c r="F46" s="2">
        <v>2958.2</v>
      </c>
      <c r="G46" s="2">
        <v>13667.22</v>
      </c>
      <c r="H46" s="2">
        <v>26123.09</v>
      </c>
      <c r="I46" s="2">
        <v>31022.04</v>
      </c>
      <c r="J46" s="2">
        <v>89214.837950000001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699650.19279999996</v>
      </c>
    </row>
    <row r="47" spans="1:17" s="35" customFormat="1" hidden="1" outlineLevel="1" x14ac:dyDescent="0.3">
      <c r="A47" s="34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3">
      <c r="A48" s="34"/>
      <c r="B48" s="10" t="str">
        <f>CONCATENATE("          ","6010", " - ","GRATUITY")</f>
        <v xml:space="preserve">          6010 - GRATUITY</v>
      </c>
      <c r="C48" s="14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3">
      <c r="A49" s="34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SUM(OSRRefD21_2x_1)</f>
        <v>2018.7</v>
      </c>
      <c r="F49" s="1">
        <f>SUM(OSRRefD21_2x_2)</f>
        <v>933.53</v>
      </c>
      <c r="G49" s="1">
        <f>SUM(OSRRefD21_2x_3)</f>
        <v>95.23</v>
      </c>
      <c r="H49" s="1">
        <f>SUM(OSRRefD21_2x_4)</f>
        <v>270.02</v>
      </c>
      <c r="I49" s="1">
        <f>SUM(OSRRefD21_2x_5)</f>
        <v>247.65</v>
      </c>
      <c r="J49" s="1">
        <f>SUM(OSRRefE21_2x_0)</f>
        <v>1319</v>
      </c>
      <c r="K49" s="1">
        <f>SUM(OSRRefE21_2x_1)</f>
        <v>1319</v>
      </c>
      <c r="L49" s="1">
        <f>SUM(OSRRefE21_2x_2)</f>
        <v>1319</v>
      </c>
      <c r="M49" s="1">
        <f>SUM(OSRRefE21_2x_3)</f>
        <v>1319</v>
      </c>
      <c r="N49" s="1">
        <f>SUM(OSRRefE21_2x_4)</f>
        <v>1319</v>
      </c>
      <c r="O49" s="1">
        <f>SUM(OSRRefE21_2x_5)</f>
        <v>969</v>
      </c>
      <c r="Q49" s="2">
        <f>SUM(OSRRefD20_2x)+IFERROR(SUM(OSRRefE20_2x),0)</f>
        <v>11674.86</v>
      </c>
    </row>
    <row r="50" spans="1:17" s="35" customFormat="1" hidden="1" outlineLevel="1" x14ac:dyDescent="0.3">
      <c r="A50" s="34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2018.7</v>
      </c>
      <c r="F50" s="2">
        <v>933.53</v>
      </c>
      <c r="G50" s="2">
        <v>95.23</v>
      </c>
      <c r="H50" s="2">
        <v>270.02</v>
      </c>
      <c r="I50" s="2">
        <v>247.65</v>
      </c>
      <c r="J50" s="2">
        <v>1319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11674.86</v>
      </c>
    </row>
    <row r="51" spans="1:17" s="35" customFormat="1" collapsed="1" x14ac:dyDescent="0.3">
      <c r="A51" s="34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-88.22</v>
      </c>
      <c r="F51" s="1">
        <f>SUM(OSRRefD21_3x_2)</f>
        <v>-7.95</v>
      </c>
      <c r="G51" s="1">
        <f>SUM(OSRRefD21_3x_3)</f>
        <v>-11.81</v>
      </c>
      <c r="H51" s="1">
        <f>SUM(OSRRefD21_3x_4)</f>
        <v>-3.81</v>
      </c>
      <c r="I51" s="1">
        <f>SUM(OSRRefD21_3x_5)</f>
        <v>26</v>
      </c>
      <c r="J51" s="1">
        <f>SUM(OSRRefE21_3x_0)</f>
        <v>33</v>
      </c>
      <c r="K51" s="1">
        <f>SUM(OSRRefE21_3x_1)</f>
        <v>43</v>
      </c>
      <c r="L51" s="1">
        <f>SUM(OSRRefE21_3x_2)</f>
        <v>33</v>
      </c>
      <c r="M51" s="1">
        <f>SUM(OSRRefE21_3x_3)</f>
        <v>43</v>
      </c>
      <c r="N51" s="1">
        <f>SUM(OSRRefE21_3x_4)</f>
        <v>33</v>
      </c>
      <c r="O51" s="1">
        <f>SUM(OSRRefE21_3x_5)</f>
        <v>25</v>
      </c>
      <c r="Q51" s="2">
        <f>SUM(OSRRefD20_3x)+IFERROR(SUM(OSRRefE20_3x),0)</f>
        <v>105.19</v>
      </c>
    </row>
    <row r="52" spans="1:17" s="35" customFormat="1" hidden="1" outlineLevel="1" x14ac:dyDescent="0.3">
      <c r="A52" s="34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-88.22</v>
      </c>
      <c r="F52" s="2">
        <v>-7.95</v>
      </c>
      <c r="G52" s="2">
        <v>-11.81</v>
      </c>
      <c r="H52" s="2">
        <v>-3.81</v>
      </c>
      <c r="I52" s="2">
        <v>26</v>
      </c>
      <c r="J52" s="2">
        <v>33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105.19</v>
      </c>
    </row>
    <row r="53" spans="1:17" s="35" customFormat="1" collapsed="1" x14ac:dyDescent="0.3">
      <c r="A53" s="34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SUM(OSRRefD21_4x_1)</f>
        <v>2463.14</v>
      </c>
      <c r="F53" s="1">
        <f>SUM(OSRRefD21_4x_2)</f>
        <v>4934.43</v>
      </c>
      <c r="G53" s="1">
        <f>SUM(OSRRefD21_4x_3)</f>
        <v>6436.56</v>
      </c>
      <c r="H53" s="1">
        <f>SUM(OSRRefD21_4x_4)</f>
        <v>4474.22</v>
      </c>
      <c r="I53" s="1">
        <f>SUM(OSRRefD21_4x_5)</f>
        <v>4074.9</v>
      </c>
      <c r="J53" s="1">
        <f>SUM(OSRRefE21_4x_0)</f>
        <v>7713</v>
      </c>
      <c r="K53" s="1">
        <f>SUM(OSRRefE21_4x_1)</f>
        <v>18285</v>
      </c>
      <c r="L53" s="1">
        <f>SUM(OSRRefE21_4x_2)</f>
        <v>17322</v>
      </c>
      <c r="M53" s="1">
        <f>SUM(OSRRefE21_4x_3)</f>
        <v>17780</v>
      </c>
      <c r="N53" s="1">
        <f>SUM(OSRRefE21_4x_4)</f>
        <v>11727</v>
      </c>
      <c r="O53" s="1">
        <f>SUM(OSRRefE21_4x_5)</f>
        <v>4849</v>
      </c>
      <c r="Q53" s="2">
        <f>SUM(OSRRefD20_4x)+IFERROR(SUM(OSRRefE20_4x),0)</f>
        <v>101069.55</v>
      </c>
    </row>
    <row r="54" spans="1:17" s="35" customFormat="1" hidden="1" outlineLevel="1" x14ac:dyDescent="0.3">
      <c r="A54" s="34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2463.14</v>
      </c>
      <c r="F54" s="2">
        <v>4934.43</v>
      </c>
      <c r="G54" s="2">
        <v>6436.56</v>
      </c>
      <c r="H54" s="2">
        <v>4474.22</v>
      </c>
      <c r="I54" s="2">
        <v>4074.9</v>
      </c>
      <c r="J54" s="2">
        <v>7713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101069.55</v>
      </c>
    </row>
    <row r="55" spans="1:17" s="35" customFormat="1" collapsed="1" x14ac:dyDescent="0.3">
      <c r="A55" s="34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SUM(OSRRefD21_5x_1)</f>
        <v>33586.15</v>
      </c>
      <c r="F55" s="1">
        <f>SUM(OSRRefD21_5x_2)</f>
        <v>33542.080000000002</v>
      </c>
      <c r="G55" s="1">
        <f>SUM(OSRRefD21_5x_3)</f>
        <v>33542.080000000002</v>
      </c>
      <c r="H55" s="1">
        <f>SUM(OSRRefD21_5x_4)</f>
        <v>33542.080000000002</v>
      </c>
      <c r="I55" s="1">
        <f>SUM(OSRRefD21_5x_5)</f>
        <v>33542.080000000002</v>
      </c>
      <c r="J55" s="1">
        <f>SUM(OSRRefE21_5x_0)</f>
        <v>33269</v>
      </c>
      <c r="K55" s="1">
        <f>SUM(OSRRefE21_5x_1)</f>
        <v>33269</v>
      </c>
      <c r="L55" s="1">
        <f>SUM(OSRRefE21_5x_2)</f>
        <v>32694</v>
      </c>
      <c r="M55" s="1">
        <f>SUM(OSRRefE21_5x_3)</f>
        <v>32694</v>
      </c>
      <c r="N55" s="1">
        <f>SUM(OSRRefE21_5x_4)</f>
        <v>32694</v>
      </c>
      <c r="O55" s="1">
        <f>SUM(OSRRefE21_5x_5)</f>
        <v>32694</v>
      </c>
      <c r="Q55" s="2">
        <f>SUM(OSRRefD20_5x)+IFERROR(SUM(OSRRefE20_5x),0)</f>
        <v>398654.62000000005</v>
      </c>
    </row>
    <row r="56" spans="1:17" s="35" customFormat="1" hidden="1" outlineLevel="1" x14ac:dyDescent="0.3">
      <c r="A56" s="34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>
        <v>23583.47</v>
      </c>
      <c r="F56" s="2">
        <v>23539.4</v>
      </c>
      <c r="G56" s="2">
        <v>23539.4</v>
      </c>
      <c r="H56" s="2">
        <v>23539.4</v>
      </c>
      <c r="I56" s="2">
        <v>23539.4</v>
      </c>
      <c r="J56" s="2"/>
      <c r="K56" s="2"/>
      <c r="L56" s="2"/>
      <c r="M56" s="2"/>
      <c r="N56" s="2"/>
      <c r="O56" s="2"/>
      <c r="P56" s="9"/>
      <c r="Q56" s="2">
        <f>SUM(OSRRefD21_5_0x)+IFERROR(SUM(OSRRefE21_5_0x),0)</f>
        <v>141324.53999999998</v>
      </c>
    </row>
    <row r="57" spans="1:17" s="35" customFormat="1" hidden="1" outlineLevel="1" x14ac:dyDescent="0.3">
      <c r="A57" s="34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10002.68</v>
      </c>
      <c r="F57" s="2">
        <v>10002.68</v>
      </c>
      <c r="G57" s="2">
        <v>10002.68</v>
      </c>
      <c r="H57" s="2">
        <v>10002.68</v>
      </c>
      <c r="I57" s="2">
        <v>10002.68</v>
      </c>
      <c r="J57" s="2">
        <v>33269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257330.08000000002</v>
      </c>
    </row>
    <row r="58" spans="1:17" s="35" customFormat="1" collapsed="1" x14ac:dyDescent="0.3">
      <c r="A58" s="34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SUM(OSRRefD21_6x_1)</f>
        <v>4261.5600000000004</v>
      </c>
      <c r="F58" s="1">
        <f>SUM(OSRRefD21_6x_2)</f>
        <v>9653.6200000000008</v>
      </c>
      <c r="G58" s="1">
        <f>SUM(OSRRefD21_6x_3)</f>
        <v>10498.56</v>
      </c>
      <c r="H58" s="1">
        <f>SUM(OSRRefD21_6x_4)</f>
        <v>8398.85</v>
      </c>
      <c r="I58" s="1">
        <f>SUM(OSRRefD21_6x_5)</f>
        <v>3782.41</v>
      </c>
      <c r="J58" s="1">
        <f>SUM(OSRRefE21_6x_0)</f>
        <v>15500</v>
      </c>
      <c r="K58" s="1">
        <f>SUM(OSRRefE21_6x_1)</f>
        <v>15500</v>
      </c>
      <c r="L58" s="1">
        <f>SUM(OSRRefE21_6x_2)</f>
        <v>15500</v>
      </c>
      <c r="M58" s="1">
        <f>SUM(OSRRefE21_6x_3)</f>
        <v>15500</v>
      </c>
      <c r="N58" s="1">
        <f>SUM(OSRRefE21_6x_4)</f>
        <v>15500</v>
      </c>
      <c r="O58" s="1">
        <f>SUM(OSRRefE21_6x_5)</f>
        <v>0</v>
      </c>
      <c r="Q58" s="2">
        <f>SUM(OSRRefD20_6x)+IFERROR(SUM(OSRRefE20_6x),0)</f>
        <v>114095</v>
      </c>
    </row>
    <row r="59" spans="1:17" s="35" customFormat="1" hidden="1" outlineLevel="1" x14ac:dyDescent="0.3">
      <c r="A59" s="34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4261.5600000000004</v>
      </c>
      <c r="F59" s="2">
        <v>9653.6200000000008</v>
      </c>
      <c r="G59" s="2">
        <v>10498.56</v>
      </c>
      <c r="H59" s="2">
        <v>8398.85</v>
      </c>
      <c r="I59" s="2">
        <v>3782.41</v>
      </c>
      <c r="J59" s="2">
        <v>15500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114095</v>
      </c>
    </row>
    <row r="60" spans="1:17" s="35" customFormat="1" collapsed="1" x14ac:dyDescent="0.3">
      <c r="A60" s="34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SUM(OSRRefD21_7x_1)</f>
        <v>18</v>
      </c>
      <c r="F60" s="1">
        <f>SUM(OSRRefD21_7x_2)</f>
        <v>14.49</v>
      </c>
      <c r="G60" s="1">
        <f>SUM(OSRRefD21_7x_3)</f>
        <v>123.17</v>
      </c>
      <c r="H60" s="1">
        <f>SUM(OSRRefD21_7x_4)</f>
        <v>34.47</v>
      </c>
      <c r="I60" s="1">
        <f>SUM(OSRRefD21_7x_5)</f>
        <v>287.10000000000002</v>
      </c>
      <c r="J60" s="1">
        <f>SUM(OSRRefE21_7x_0)</f>
        <v>220</v>
      </c>
      <c r="K60" s="1">
        <f>SUM(OSRRefE21_7x_1)</f>
        <v>200</v>
      </c>
      <c r="L60" s="1">
        <f>SUM(OSRRefE21_7x_2)</f>
        <v>240</v>
      </c>
      <c r="M60" s="1">
        <f>SUM(OSRRefE21_7x_3)</f>
        <v>220</v>
      </c>
      <c r="N60" s="1">
        <f>SUM(OSRRefE21_7x_4)</f>
        <v>490</v>
      </c>
      <c r="O60" s="1">
        <f>SUM(OSRRefE21_7x_5)</f>
        <v>200</v>
      </c>
      <c r="Q60" s="2">
        <f>SUM(OSRRefD20_7x)+IFERROR(SUM(OSRRefE20_7x),0)</f>
        <v>2047.23</v>
      </c>
    </row>
    <row r="61" spans="1:17" s="35" customFormat="1" hidden="1" outlineLevel="1" x14ac:dyDescent="0.3">
      <c r="A61" s="34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18</v>
      </c>
      <c r="F61" s="2">
        <v>14.49</v>
      </c>
      <c r="G61" s="2">
        <v>123.17</v>
      </c>
      <c r="H61" s="2">
        <v>34.47</v>
      </c>
      <c r="I61" s="2">
        <v>287.10000000000002</v>
      </c>
      <c r="J61" s="2">
        <v>220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2047.23</v>
      </c>
    </row>
    <row r="62" spans="1:17" s="35" customFormat="1" collapsed="1" x14ac:dyDescent="0.3">
      <c r="A62" s="34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SUM(OSRRefD21_8x_1)</f>
        <v>5272.12</v>
      </c>
      <c r="F62" s="1">
        <f>SUM(OSRRefD21_8x_2)</f>
        <v>411.46</v>
      </c>
      <c r="G62" s="1">
        <f>SUM(OSRRefD21_8x_3)</f>
        <v>2715.16</v>
      </c>
      <c r="H62" s="1">
        <f>SUM(OSRRefD21_8x_4)</f>
        <v>1328.91</v>
      </c>
      <c r="I62" s="1">
        <f>SUM(OSRRefD21_8x_5)</f>
        <v>2579.75</v>
      </c>
      <c r="J62" s="1">
        <f>SUM(OSRRefE21_8x_0)</f>
        <v>1570</v>
      </c>
      <c r="K62" s="1">
        <f>SUM(OSRRefE21_8x_1)</f>
        <v>1570</v>
      </c>
      <c r="L62" s="1">
        <f>SUM(OSRRefE21_8x_2)</f>
        <v>1570</v>
      </c>
      <c r="M62" s="1">
        <f>SUM(OSRRefE21_8x_3)</f>
        <v>1570</v>
      </c>
      <c r="N62" s="1">
        <f>SUM(OSRRefE21_8x_4)</f>
        <v>1570</v>
      </c>
      <c r="O62" s="1">
        <f>SUM(OSRRefE21_8x_5)</f>
        <v>1570</v>
      </c>
      <c r="Q62" s="2">
        <f>SUM(OSRRefD20_8x)+IFERROR(SUM(OSRRefE20_8x),0)</f>
        <v>23052.86</v>
      </c>
    </row>
    <row r="63" spans="1:17" s="35" customFormat="1" hidden="1" outlineLevel="1" x14ac:dyDescent="0.3">
      <c r="A63" s="34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5272.12</v>
      </c>
      <c r="F63" s="2">
        <v>411.46</v>
      </c>
      <c r="G63" s="2">
        <v>2715.16</v>
      </c>
      <c r="H63" s="2">
        <v>1328.91</v>
      </c>
      <c r="I63" s="2">
        <v>2579.75</v>
      </c>
      <c r="J63" s="2">
        <v>1570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23052.86</v>
      </c>
    </row>
    <row r="64" spans="1:17" s="35" customFormat="1" collapsed="1" x14ac:dyDescent="0.3">
      <c r="A64" s="34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SUM(OSRRefD21_9x_1)</f>
        <v>17430.580000000002</v>
      </c>
      <c r="F64" s="1">
        <f>SUM(OSRRefD21_9x_2)</f>
        <v>5273</v>
      </c>
      <c r="G64" s="1">
        <f>SUM(OSRRefD21_9x_3)</f>
        <v>2065.66</v>
      </c>
      <c r="H64" s="1">
        <f>SUM(OSRRefD21_9x_4)</f>
        <v>0</v>
      </c>
      <c r="I64" s="1">
        <f>SUM(OSRRefD21_9x_5)</f>
        <v>710</v>
      </c>
      <c r="J64" s="1">
        <f>SUM(OSRRefE21_9x_0)</f>
        <v>780</v>
      </c>
      <c r="K64" s="1">
        <f>SUM(OSRRefE21_9x_1)</f>
        <v>530</v>
      </c>
      <c r="L64" s="1">
        <f>SUM(OSRRefE21_9x_2)</f>
        <v>1390</v>
      </c>
      <c r="M64" s="1">
        <f>SUM(OSRRefE21_9x_3)</f>
        <v>540</v>
      </c>
      <c r="N64" s="1">
        <f>SUM(OSRRefE21_9x_4)</f>
        <v>540</v>
      </c>
      <c r="O64" s="1">
        <f>SUM(OSRRefE21_9x_5)</f>
        <v>540</v>
      </c>
      <c r="Q64" s="2">
        <f>SUM(OSRRefD20_9x)+IFERROR(SUM(OSRRefE20_9x),0)</f>
        <v>30292.97</v>
      </c>
    </row>
    <row r="65" spans="1:17" s="35" customFormat="1" hidden="1" outlineLevel="1" x14ac:dyDescent="0.3">
      <c r="A65" s="34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>
        <v>250</v>
      </c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500</v>
      </c>
    </row>
    <row r="66" spans="1:17" s="35" customFormat="1" hidden="1" outlineLevel="1" x14ac:dyDescent="0.3">
      <c r="A66" s="34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17430.580000000002</v>
      </c>
      <c r="F66" s="2">
        <v>5273</v>
      </c>
      <c r="G66" s="2">
        <v>2065.66</v>
      </c>
      <c r="H66" s="2"/>
      <c r="I66" s="2">
        <v>710</v>
      </c>
      <c r="J66" s="2">
        <v>530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29792.97</v>
      </c>
    </row>
    <row r="67" spans="1:17" s="35" customFormat="1" collapsed="1" x14ac:dyDescent="0.3">
      <c r="A67" s="34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SUM(OSRRefD21_10x_1)</f>
        <v>5761.42</v>
      </c>
      <c r="F67" s="1">
        <f>SUM(OSRRefD21_10x_2)</f>
        <v>5761.42</v>
      </c>
      <c r="G67" s="1">
        <f>SUM(OSRRefD21_10x_3)</f>
        <v>12644.42</v>
      </c>
      <c r="H67" s="1">
        <f>SUM(OSRRefD21_10x_4)</f>
        <v>5761.42</v>
      </c>
      <c r="I67" s="1">
        <f>SUM(OSRRefD21_10x_5)</f>
        <v>5761.42</v>
      </c>
      <c r="J67" s="1">
        <f>SUM(OSRRefE21_10x_0)</f>
        <v>5680</v>
      </c>
      <c r="K67" s="1">
        <f>SUM(OSRRefE21_10x_1)</f>
        <v>5680</v>
      </c>
      <c r="L67" s="1">
        <f>SUM(OSRRefE21_10x_2)</f>
        <v>5680</v>
      </c>
      <c r="M67" s="1">
        <f>SUM(OSRRefE21_10x_3)</f>
        <v>5680</v>
      </c>
      <c r="N67" s="1">
        <f>SUM(OSRRefE21_10x_4)</f>
        <v>5680</v>
      </c>
      <c r="O67" s="1">
        <f>SUM(OSRRefE21_10x_5)</f>
        <v>5680</v>
      </c>
      <c r="Q67" s="2">
        <f>SUM(OSRRefD20_10x)+IFERROR(SUM(OSRRefE20_10x),0)</f>
        <v>75531.53</v>
      </c>
    </row>
    <row r="68" spans="1:17" s="35" customFormat="1" hidden="1" outlineLevel="1" x14ac:dyDescent="0.3">
      <c r="A68" s="34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5761.42</v>
      </c>
      <c r="F68" s="2">
        <v>5761.42</v>
      </c>
      <c r="G68" s="2">
        <v>12644.42</v>
      </c>
      <c r="H68" s="2">
        <v>5761.42</v>
      </c>
      <c r="I68" s="2">
        <v>5761.42</v>
      </c>
      <c r="J68" s="2">
        <v>5680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75531.53</v>
      </c>
    </row>
    <row r="69" spans="1:17" s="35" customFormat="1" collapsed="1" x14ac:dyDescent="0.3">
      <c r="A69" s="34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SUM(OSRRefD21_11x_1)</f>
        <v>7253</v>
      </c>
      <c r="F69" s="1">
        <f>SUM(OSRRefD21_11x_2)</f>
        <v>7253</v>
      </c>
      <c r="G69" s="1">
        <f>SUM(OSRRefD21_11x_3)</f>
        <v>6739</v>
      </c>
      <c r="H69" s="1">
        <f>SUM(OSRRefD21_11x_4)</f>
        <v>7253</v>
      </c>
      <c r="I69" s="1">
        <f>SUM(OSRRefD21_11x_5)</f>
        <v>7253</v>
      </c>
      <c r="J69" s="1">
        <f>SUM(OSRRefE21_11x_0)</f>
        <v>7253</v>
      </c>
      <c r="K69" s="1">
        <f>SUM(OSRRefE21_11x_1)</f>
        <v>7253</v>
      </c>
      <c r="L69" s="1">
        <f>SUM(OSRRefE21_11x_2)</f>
        <v>7253</v>
      </c>
      <c r="M69" s="1">
        <f>SUM(OSRRefE21_11x_3)</f>
        <v>7253</v>
      </c>
      <c r="N69" s="1">
        <f>SUM(OSRRefE21_11x_4)</f>
        <v>6982</v>
      </c>
      <c r="O69" s="1">
        <f>SUM(OSRRefE21_11x_5)</f>
        <v>6982</v>
      </c>
      <c r="Q69" s="2">
        <f>SUM(OSRRefD20_11x)+IFERROR(SUM(OSRRefE20_11x),0)</f>
        <v>85980</v>
      </c>
    </row>
    <row r="70" spans="1:17" s="35" customFormat="1" hidden="1" outlineLevel="1" x14ac:dyDescent="0.3">
      <c r="A70" s="34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6739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85980</v>
      </c>
    </row>
    <row r="71" spans="1:17" s="35" customFormat="1" collapsed="1" x14ac:dyDescent="0.3">
      <c r="A71" s="34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SUM(OSRRefD21_12x_1)</f>
        <v>38588</v>
      </c>
      <c r="F71" s="1">
        <f>SUM(OSRRefD21_12x_2)</f>
        <v>102646.99</v>
      </c>
      <c r="G71" s="1">
        <f>SUM(OSRRefD21_12x_3)</f>
        <v>127967.99</v>
      </c>
      <c r="H71" s="1">
        <f>SUM(OSRRefD21_12x_4)</f>
        <v>102145.22</v>
      </c>
      <c r="I71" s="1">
        <f>SUM(OSRRefD21_12x_5)</f>
        <v>76752.539999999994</v>
      </c>
      <c r="J71" s="1">
        <f>SUM(OSRRefE21_12x_0)</f>
        <v>35482</v>
      </c>
      <c r="K71" s="1">
        <f>SUM(OSRRefE21_12x_1)</f>
        <v>90317</v>
      </c>
      <c r="L71" s="1">
        <f>SUM(OSRRefE21_12x_2)</f>
        <v>87091</v>
      </c>
      <c r="M71" s="1">
        <f>SUM(OSRRefE21_12x_3)</f>
        <v>87091</v>
      </c>
      <c r="N71" s="1">
        <f>SUM(OSRRefE21_12x_4)</f>
        <v>44064</v>
      </c>
      <c r="O71" s="1">
        <f>SUM(OSRRefE21_12x_5)</f>
        <v>0</v>
      </c>
      <c r="Q71" s="2">
        <f>SUM(OSRRefD20_12x)+IFERROR(SUM(OSRRefE20_12x),0)</f>
        <v>793713.74</v>
      </c>
    </row>
    <row r="72" spans="1:17" s="35" customFormat="1" hidden="1" outlineLevel="1" x14ac:dyDescent="0.3">
      <c r="A72" s="34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38588</v>
      </c>
      <c r="F72" s="2">
        <v>102646.99</v>
      </c>
      <c r="G72" s="2">
        <v>127967.99</v>
      </c>
      <c r="H72" s="2">
        <v>102145.22</v>
      </c>
      <c r="I72" s="2">
        <v>76752.539999999994</v>
      </c>
      <c r="J72" s="2">
        <v>35482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793713.74</v>
      </c>
    </row>
    <row r="73" spans="1:17" s="35" customFormat="1" collapsed="1" x14ac:dyDescent="0.3">
      <c r="A73" s="34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SUM(OSRRefD21_13x_1)</f>
        <v>1850</v>
      </c>
      <c r="F73" s="1">
        <f>SUM(OSRRefD21_13x_2)</f>
        <v>1850</v>
      </c>
      <c r="G73" s="1">
        <f>SUM(OSRRefD21_13x_3)</f>
        <v>1850</v>
      </c>
      <c r="H73" s="1">
        <f>SUM(OSRRefD21_13x_4)</f>
        <v>1850</v>
      </c>
      <c r="I73" s="1">
        <f>SUM(OSRRefD21_13x_5)</f>
        <v>1850</v>
      </c>
      <c r="J73" s="1">
        <f>SUM(OSRRefE21_13x_0)</f>
        <v>1850</v>
      </c>
      <c r="K73" s="1">
        <f>SUM(OSRRefE21_13x_1)</f>
        <v>1850</v>
      </c>
      <c r="L73" s="1">
        <f>SUM(OSRRefE21_13x_2)</f>
        <v>1850</v>
      </c>
      <c r="M73" s="1">
        <f>SUM(OSRRefE21_13x_3)</f>
        <v>1850</v>
      </c>
      <c r="N73" s="1">
        <f>SUM(OSRRefE21_13x_4)</f>
        <v>1850</v>
      </c>
      <c r="O73" s="1">
        <f>SUM(OSRRefE21_13x_5)</f>
        <v>1850</v>
      </c>
      <c r="Q73" s="2">
        <f>SUM(OSRRefD20_13x)+IFERROR(SUM(OSRRefE20_13x),0)</f>
        <v>22200</v>
      </c>
    </row>
    <row r="74" spans="1:17" s="35" customFormat="1" hidden="1" outlineLevel="1" x14ac:dyDescent="0.3">
      <c r="A74" s="34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5" customFormat="1" collapsed="1" x14ac:dyDescent="0.3">
      <c r="A75" s="34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SUM(OSRRefD21_14x_1)</f>
        <v>26035.839999999997</v>
      </c>
      <c r="F75" s="1">
        <f>SUM(OSRRefD21_14x_2)</f>
        <v>6973.89</v>
      </c>
      <c r="G75" s="1">
        <f>SUM(OSRRefD21_14x_3)</f>
        <v>14678.15</v>
      </c>
      <c r="H75" s="1">
        <f>SUM(OSRRefD21_14x_4)</f>
        <v>9529.7400000000016</v>
      </c>
      <c r="I75" s="1">
        <f>SUM(OSRRefD21_14x_5)</f>
        <v>14904.449999999999</v>
      </c>
      <c r="J75" s="1">
        <f>SUM(OSRRefE21_14x_0)</f>
        <v>18716</v>
      </c>
      <c r="K75" s="1">
        <f>SUM(OSRRefE21_14x_1)</f>
        <v>9379</v>
      </c>
      <c r="L75" s="1">
        <f>SUM(OSRRefE21_14x_2)</f>
        <v>7500</v>
      </c>
      <c r="M75" s="1">
        <f>SUM(OSRRefE21_14x_3)</f>
        <v>12729</v>
      </c>
      <c r="N75" s="1">
        <f>SUM(OSRRefE21_14x_4)</f>
        <v>8529</v>
      </c>
      <c r="O75" s="1">
        <f>SUM(OSRRefE21_14x_5)</f>
        <v>5705</v>
      </c>
      <c r="Q75" s="2">
        <f>SUM(OSRRefD20_14x)+IFERROR(SUM(OSRRefE20_14x),0)</f>
        <v>141940.78</v>
      </c>
    </row>
    <row r="76" spans="1:17" s="35" customFormat="1" hidden="1" outlineLevel="1" x14ac:dyDescent="0.3">
      <c r="A76" s="34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8677.7199999999993</v>
      </c>
      <c r="F76" s="2">
        <v>3500</v>
      </c>
      <c r="G76" s="2">
        <v>3659.68</v>
      </c>
      <c r="H76" s="2">
        <v>3880.32</v>
      </c>
      <c r="I76" s="2">
        <v>4118.3599999999997</v>
      </c>
      <c r="J76" s="2">
        <v>3500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48336.08</v>
      </c>
    </row>
    <row r="77" spans="1:17" s="35" customFormat="1" hidden="1" outlineLevel="1" x14ac:dyDescent="0.3">
      <c r="A77" s="34"/>
      <c r="B77" s="10" t="str">
        <f>CONCATENATE("          ","6372", " - ","COMPUTER HARDWARE MAINTENANCE")</f>
        <v xml:space="preserve">          6372 - COMPUTER HARDWARE MAINTENANCE</v>
      </c>
      <c r="C77" s="14"/>
      <c r="D77" s="2"/>
      <c r="E77" s="2"/>
      <c r="F77" s="2"/>
      <c r="G77" s="2"/>
      <c r="H77" s="2"/>
      <c r="I77" s="2"/>
      <c r="J77" s="2">
        <v>8000</v>
      </c>
      <c r="K77" s="2"/>
      <c r="L77" s="2"/>
      <c r="M77" s="2"/>
      <c r="N77" s="2"/>
      <c r="O77" s="2"/>
      <c r="P77" s="9"/>
      <c r="Q77" s="2">
        <f>SUM(OSRRefD21_14_1x)+IFERROR(SUM(OSRRefE21_14_1x),0)</f>
        <v>8000</v>
      </c>
    </row>
    <row r="78" spans="1:17" s="35" customFormat="1" hidden="1" outlineLevel="1" x14ac:dyDescent="0.3">
      <c r="A78" s="34"/>
      <c r="B78" s="10" t="str">
        <f>CONCATENATE("          ","6373", " - ","MAINTENANCE CONTRACTS")</f>
        <v xml:space="preserve">          6373 - MAINTENANCE CONTRACTS</v>
      </c>
      <c r="C78" s="14"/>
      <c r="D78" s="2">
        <v>14.87</v>
      </c>
      <c r="E78" s="2"/>
      <c r="F78" s="2">
        <v>1125.43</v>
      </c>
      <c r="G78" s="2">
        <v>2983.57</v>
      </c>
      <c r="H78" s="2">
        <v>2873.05</v>
      </c>
      <c r="I78" s="2">
        <v>4715.1000000000004</v>
      </c>
      <c r="J78" s="2">
        <v>4530</v>
      </c>
      <c r="K78" s="2">
        <v>1800</v>
      </c>
      <c r="L78" s="2"/>
      <c r="M78" s="2">
        <v>4530</v>
      </c>
      <c r="N78" s="2">
        <v>1800</v>
      </c>
      <c r="O78" s="2"/>
      <c r="P78" s="9"/>
      <c r="Q78" s="2">
        <f>SUM(OSRRefD21_14_2x)+IFERROR(SUM(OSRRefE21_14_2x),0)</f>
        <v>24372.02</v>
      </c>
    </row>
    <row r="79" spans="1:17" s="35" customFormat="1" hidden="1" outlineLevel="1" x14ac:dyDescent="0.3">
      <c r="A79" s="34"/>
      <c r="B79" s="10" t="str">
        <f>CONCATENATE("          ","6375", " - ","OUTSIDE REPAIRS &amp; MAINTENANCE")</f>
        <v xml:space="preserve">          6375 - OUTSIDE REPAIRS &amp; MAINTENANCE</v>
      </c>
      <c r="C79" s="14"/>
      <c r="D79" s="2">
        <v>3745.84</v>
      </c>
      <c r="E79" s="2">
        <v>17358.12</v>
      </c>
      <c r="F79" s="2">
        <v>2348.46</v>
      </c>
      <c r="G79" s="2">
        <v>8034.9</v>
      </c>
      <c r="H79" s="2">
        <v>2776.37</v>
      </c>
      <c r="I79" s="2">
        <v>6070.99</v>
      </c>
      <c r="J79" s="2">
        <v>2686</v>
      </c>
      <c r="K79" s="2">
        <v>4079</v>
      </c>
      <c r="L79" s="2">
        <v>4000</v>
      </c>
      <c r="M79" s="2">
        <v>4699</v>
      </c>
      <c r="N79" s="2">
        <v>3229</v>
      </c>
      <c r="O79" s="2">
        <v>2205</v>
      </c>
      <c r="P79" s="9"/>
      <c r="Q79" s="2">
        <f>SUM(OSRRefD21_14_3x)+IFERROR(SUM(OSRRefE21_14_3x),0)</f>
        <v>61232.68</v>
      </c>
    </row>
    <row r="80" spans="1:17" s="35" customFormat="1" collapsed="1" x14ac:dyDescent="0.3">
      <c r="A80" s="34"/>
      <c r="B80" s="14" t="str">
        <f>CONCATENATE("     ","Royalty &amp; Commissions                             ")</f>
        <v xml:space="preserve">     Royalty &amp; Commissions                             </v>
      </c>
      <c r="C80" s="14"/>
      <c r="D80" s="1">
        <f>SUM(OSRRefD21_15x_0)</f>
        <v>0</v>
      </c>
      <c r="E80" s="1">
        <f>SUM(OSRRefD21_15x_1)</f>
        <v>0</v>
      </c>
      <c r="F80" s="1">
        <f>SUM(OSRRefD21_15x_2)</f>
        <v>0</v>
      </c>
      <c r="G80" s="1">
        <f>SUM(OSRRefD21_15x_3)</f>
        <v>1066.22</v>
      </c>
      <c r="H80" s="1">
        <f>SUM(OSRRefD21_15x_4)</f>
        <v>366.22</v>
      </c>
      <c r="I80" s="1">
        <f>SUM(OSRRefD21_15x_5)</f>
        <v>412.47</v>
      </c>
      <c r="J80" s="1">
        <f>SUM(OSRRefE21_15x_0)</f>
        <v>0</v>
      </c>
      <c r="K80" s="1">
        <f>SUM(OSRRefE21_15x_1)</f>
        <v>0</v>
      </c>
      <c r="L80" s="1">
        <f>SUM(OSRRefE21_15x_2)</f>
        <v>0</v>
      </c>
      <c r="M80" s="1">
        <f>SUM(OSRRefE21_15x_3)</f>
        <v>0</v>
      </c>
      <c r="N80" s="1">
        <f>SUM(OSRRefE21_15x_4)</f>
        <v>0</v>
      </c>
      <c r="O80" s="1">
        <f>SUM(OSRRefE21_15x_5)</f>
        <v>0</v>
      </c>
      <c r="Q80" s="2">
        <f>SUM(OSRRefD20_15x)+IFERROR(SUM(OSRRefE20_15x),0)</f>
        <v>1844.91</v>
      </c>
    </row>
    <row r="81" spans="1:17" s="35" customFormat="1" hidden="1" outlineLevel="1" x14ac:dyDescent="0.3">
      <c r="A81" s="34"/>
      <c r="B81" s="10" t="str">
        <f>CONCATENATE("          ","6254", " - ","ROYALTY &amp; COMMISSIONS")</f>
        <v xml:space="preserve">          6254 - ROYALTY &amp; COMMISSIONS</v>
      </c>
      <c r="C81" s="14"/>
      <c r="D81" s="2"/>
      <c r="E81" s="2"/>
      <c r="F81" s="2"/>
      <c r="G81" s="2">
        <v>1066.22</v>
      </c>
      <c r="H81" s="2">
        <v>366.22</v>
      </c>
      <c r="I81" s="2">
        <v>412.47</v>
      </c>
      <c r="J81" s="2"/>
      <c r="K81" s="2"/>
      <c r="L81" s="2"/>
      <c r="M81" s="2"/>
      <c r="N81" s="2"/>
      <c r="O81" s="2"/>
      <c r="P81" s="9"/>
      <c r="Q81" s="2">
        <f>SUM(OSRRefD21_15_0x)+IFERROR(SUM(OSRRefE21_15_0x),0)</f>
        <v>1844.91</v>
      </c>
    </row>
    <row r="82" spans="1:17" s="35" customFormat="1" collapsed="1" x14ac:dyDescent="0.3">
      <c r="A82" s="34"/>
      <c r="B82" s="14" t="str">
        <f>CONCATENATE("     ","Services                                          ")</f>
        <v xml:space="preserve">     Services                                          </v>
      </c>
      <c r="C82" s="14"/>
      <c r="D82" s="1">
        <f>SUM(OSRRefD21_16x_0)</f>
        <v>17668.150000000001</v>
      </c>
      <c r="E82" s="1">
        <f>SUM(OSRRefD21_16x_1)</f>
        <v>29818.090000000004</v>
      </c>
      <c r="F82" s="1">
        <f>SUM(OSRRefD21_16x_2)</f>
        <v>21490.87</v>
      </c>
      <c r="G82" s="1">
        <f>SUM(OSRRefD21_16x_3)</f>
        <v>29062.21</v>
      </c>
      <c r="H82" s="1">
        <f>SUM(OSRRefD21_16x_4)</f>
        <v>23606.67</v>
      </c>
      <c r="I82" s="1">
        <f>SUM(OSRRefD21_16x_5)</f>
        <v>17538.489999999998</v>
      </c>
      <c r="J82" s="1">
        <f>SUM(OSRRefE21_16x_0)</f>
        <v>32933</v>
      </c>
      <c r="K82" s="1">
        <f>SUM(OSRRefE21_16x_1)</f>
        <v>32801</v>
      </c>
      <c r="L82" s="1">
        <f>SUM(OSRRefE21_16x_2)</f>
        <v>32801</v>
      </c>
      <c r="M82" s="1">
        <f>SUM(OSRRefE21_16x_3)</f>
        <v>33798</v>
      </c>
      <c r="N82" s="1">
        <f>SUM(OSRRefE21_16x_4)</f>
        <v>32801</v>
      </c>
      <c r="O82" s="1">
        <f>SUM(OSRRefE21_16x_5)</f>
        <v>32884</v>
      </c>
      <c r="Q82" s="2">
        <f>SUM(OSRRefD20_16x)+IFERROR(SUM(OSRRefE20_16x),0)</f>
        <v>337202.48</v>
      </c>
    </row>
    <row r="83" spans="1:17" s="35" customFormat="1" hidden="1" outlineLevel="1" x14ac:dyDescent="0.3">
      <c r="A83" s="34"/>
      <c r="B83" s="10" t="str">
        <f>CONCATENATE("          ","6282", " - ","JANITORIAL/EXTERMINATOR EXPENS")</f>
        <v xml:space="preserve">          6282 - JANITORIAL/EXTERMINATOR EXPENS</v>
      </c>
      <c r="C83" s="14"/>
      <c r="D83" s="2">
        <v>2178.6</v>
      </c>
      <c r="E83" s="2">
        <v>1442.99</v>
      </c>
      <c r="F83" s="2">
        <v>3358.12</v>
      </c>
      <c r="G83" s="2">
        <v>4857.59</v>
      </c>
      <c r="H83" s="2">
        <v>2727.38</v>
      </c>
      <c r="I83" s="2">
        <v>1868.9</v>
      </c>
      <c r="J83" s="2">
        <v>2698</v>
      </c>
      <c r="K83" s="2">
        <v>2698</v>
      </c>
      <c r="L83" s="2">
        <v>2698</v>
      </c>
      <c r="M83" s="2">
        <v>2698</v>
      </c>
      <c r="N83" s="2">
        <v>2698</v>
      </c>
      <c r="O83" s="2">
        <v>2698</v>
      </c>
      <c r="P83" s="9"/>
      <c r="Q83" s="2">
        <f>SUM(OSRRefD21_16_0x)+IFERROR(SUM(OSRRefE21_16_0x),0)</f>
        <v>32621.58</v>
      </c>
    </row>
    <row r="84" spans="1:17" s="35" customFormat="1" hidden="1" outlineLevel="1" x14ac:dyDescent="0.3">
      <c r="A84" s="34"/>
      <c r="B84" s="10" t="str">
        <f>CONCATENATE("          ","6283", " - ","PLANT SERVICE")</f>
        <v xml:space="preserve">          6283 - PLANT SERVICE</v>
      </c>
      <c r="C84" s="14"/>
      <c r="D84" s="2"/>
      <c r="E84" s="2"/>
      <c r="F84" s="2"/>
      <c r="G84" s="2"/>
      <c r="H84" s="2"/>
      <c r="I84" s="2"/>
      <c r="J84" s="2">
        <v>100</v>
      </c>
      <c r="K84" s="2">
        <v>100</v>
      </c>
      <c r="L84" s="2">
        <v>100</v>
      </c>
      <c r="M84" s="2">
        <v>100</v>
      </c>
      <c r="N84" s="2">
        <v>100</v>
      </c>
      <c r="O84" s="2">
        <v>100</v>
      </c>
      <c r="P84" s="9"/>
      <c r="Q84" s="2">
        <f>SUM(OSRRefD21_16_1x)+IFERROR(SUM(OSRRefE21_16_1x),0)</f>
        <v>600</v>
      </c>
    </row>
    <row r="85" spans="1:17" s="35" customFormat="1" hidden="1" outlineLevel="1" x14ac:dyDescent="0.3">
      <c r="A85" s="34"/>
      <c r="B85" s="10" t="str">
        <f>CONCATENATE("          ","6284", " - ","TRASH REMOVAL EXPENSE")</f>
        <v xml:space="preserve">          6284 - TRASH REMOVAL EXPENSE</v>
      </c>
      <c r="C85" s="14"/>
      <c r="D85" s="2"/>
      <c r="E85" s="2"/>
      <c r="F85" s="2"/>
      <c r="G85" s="2"/>
      <c r="H85" s="2"/>
      <c r="I85" s="2"/>
      <c r="J85" s="2">
        <v>1600</v>
      </c>
      <c r="K85" s="2">
        <v>1600</v>
      </c>
      <c r="L85" s="2">
        <v>1600</v>
      </c>
      <c r="M85" s="2">
        <v>1600</v>
      </c>
      <c r="N85" s="2">
        <v>1600</v>
      </c>
      <c r="O85" s="2">
        <v>1600</v>
      </c>
      <c r="P85" s="9"/>
      <c r="Q85" s="2">
        <f>SUM(OSRRefD21_16_2x)+IFERROR(SUM(OSRRefE21_16_2x),0)</f>
        <v>9600</v>
      </c>
    </row>
    <row r="86" spans="1:17" s="35" customFormat="1" hidden="1" outlineLevel="1" x14ac:dyDescent="0.3">
      <c r="A86" s="34"/>
      <c r="B86" s="10" t="str">
        <f>CONCATENATE("          ","6285", " - ","JANITORIAL SERVICES")</f>
        <v xml:space="preserve">          6285 - JANITORIAL SERVICES</v>
      </c>
      <c r="C86" s="14"/>
      <c r="D86" s="2">
        <v>14406.58</v>
      </c>
      <c r="E86" s="2">
        <v>25872.47</v>
      </c>
      <c r="F86" s="2">
        <v>16755.18</v>
      </c>
      <c r="G86" s="2">
        <v>16872.43</v>
      </c>
      <c r="H86" s="2">
        <v>18157.419999999998</v>
      </c>
      <c r="I86" s="2">
        <v>13631.9</v>
      </c>
      <c r="J86" s="2">
        <v>23083</v>
      </c>
      <c r="K86" s="2">
        <v>23083</v>
      </c>
      <c r="L86" s="2">
        <v>23083</v>
      </c>
      <c r="M86" s="2">
        <v>23958</v>
      </c>
      <c r="N86" s="2">
        <v>23083</v>
      </c>
      <c r="O86" s="2">
        <v>23083</v>
      </c>
      <c r="P86" s="9"/>
      <c r="Q86" s="2">
        <f>SUM(OSRRefD21_16_3x)+IFERROR(SUM(OSRRefE21_16_3x),0)</f>
        <v>245068.97999999998</v>
      </c>
    </row>
    <row r="87" spans="1:17" s="35" customFormat="1" hidden="1" outlineLevel="1" x14ac:dyDescent="0.3">
      <c r="A87" s="34"/>
      <c r="B87" s="10" t="str">
        <f>CONCATENATE("          ","6286", " - ","LAUNDRY EXPENSE")</f>
        <v xml:space="preserve">          6286 - LAUNDRY EXPENSE</v>
      </c>
      <c r="C87" s="14"/>
      <c r="D87" s="2">
        <v>1082.97</v>
      </c>
      <c r="E87" s="2">
        <v>2502.63</v>
      </c>
      <c r="F87" s="2">
        <v>1377.57</v>
      </c>
      <c r="G87" s="2">
        <v>7332.19</v>
      </c>
      <c r="H87" s="2">
        <v>2721.87</v>
      </c>
      <c r="I87" s="2">
        <v>2037.69</v>
      </c>
      <c r="J87" s="2">
        <v>5452</v>
      </c>
      <c r="K87" s="2">
        <v>5320</v>
      </c>
      <c r="L87" s="2">
        <v>5320</v>
      </c>
      <c r="M87" s="2">
        <v>5442</v>
      </c>
      <c r="N87" s="2">
        <v>5320</v>
      </c>
      <c r="O87" s="2">
        <v>5403</v>
      </c>
      <c r="P87" s="9"/>
      <c r="Q87" s="2">
        <f>SUM(OSRRefD21_16_4x)+IFERROR(SUM(OSRRefE21_16_4x),0)</f>
        <v>49311.92</v>
      </c>
    </row>
    <row r="88" spans="1:17" s="35" customFormat="1" collapsed="1" x14ac:dyDescent="0.3">
      <c r="A88" s="34"/>
      <c r="B88" s="14" t="str">
        <f>CONCATENATE("     ","Subscriptions &amp; Dues                              ")</f>
        <v xml:space="preserve">     Subscriptions &amp; Dues                              </v>
      </c>
      <c r="C88" s="14"/>
      <c r="D88" s="1">
        <f>SUM(OSRRefD21_17x_0)</f>
        <v>130.66999999999999</v>
      </c>
      <c r="E88" s="1">
        <f>SUM(OSRRefD21_17x_1)</f>
        <v>593.59</v>
      </c>
      <c r="F88" s="1">
        <f>SUM(OSRRefD21_17x_2)</f>
        <v>408.93</v>
      </c>
      <c r="G88" s="1">
        <f>SUM(OSRRefD21_17x_3)</f>
        <v>813.81</v>
      </c>
      <c r="H88" s="1">
        <f>SUM(OSRRefD21_17x_4)</f>
        <v>569.5</v>
      </c>
      <c r="I88" s="1">
        <f>SUM(OSRRefD21_17x_5)</f>
        <v>1456.11</v>
      </c>
      <c r="J88" s="1">
        <f>SUM(OSRRefE21_17x_0)</f>
        <v>610</v>
      </c>
      <c r="K88" s="1">
        <f>SUM(OSRRefE21_17x_1)</f>
        <v>610</v>
      </c>
      <c r="L88" s="1">
        <f>SUM(OSRRefE21_17x_2)</f>
        <v>610</v>
      </c>
      <c r="M88" s="1">
        <f>SUM(OSRRefE21_17x_3)</f>
        <v>610</v>
      </c>
      <c r="N88" s="1">
        <f>SUM(OSRRefE21_17x_4)</f>
        <v>610</v>
      </c>
      <c r="O88" s="1">
        <f>SUM(OSRRefE21_17x_5)</f>
        <v>610</v>
      </c>
      <c r="Q88" s="2">
        <f>SUM(OSRRefD20_17x)+IFERROR(SUM(OSRRefE20_17x),0)</f>
        <v>7632.61</v>
      </c>
    </row>
    <row r="89" spans="1:17" s="35" customFormat="1" hidden="1" outlineLevel="1" x14ac:dyDescent="0.3">
      <c r="A89" s="34"/>
      <c r="B89" s="10" t="str">
        <f>CONCATENATE("          ","6275", " - ","SUBSCRIPTIONS")</f>
        <v xml:space="preserve">          6275 - SUBSCRIPTIONS</v>
      </c>
      <c r="C89" s="14"/>
      <c r="D89" s="2">
        <v>130.66999999999999</v>
      </c>
      <c r="E89" s="2">
        <v>593.59</v>
      </c>
      <c r="F89" s="2">
        <v>408.93</v>
      </c>
      <c r="G89" s="2">
        <v>813.81</v>
      </c>
      <c r="H89" s="2">
        <v>569.5</v>
      </c>
      <c r="I89" s="2">
        <v>1456.11</v>
      </c>
      <c r="J89" s="2">
        <v>610</v>
      </c>
      <c r="K89" s="2">
        <v>610</v>
      </c>
      <c r="L89" s="2">
        <v>610</v>
      </c>
      <c r="M89" s="2">
        <v>610</v>
      </c>
      <c r="N89" s="2">
        <v>610</v>
      </c>
      <c r="O89" s="2">
        <v>610</v>
      </c>
      <c r="P89" s="9"/>
      <c r="Q89" s="2">
        <f>SUM(OSRRefD21_17_0x)+IFERROR(SUM(OSRRefE21_17_0x),0)</f>
        <v>7632.61</v>
      </c>
    </row>
    <row r="90" spans="1:17" s="35" customFormat="1" collapsed="1" x14ac:dyDescent="0.3">
      <c r="A90" s="34"/>
      <c r="B90" s="14" t="str">
        <f>CONCATENATE("     ","Supplies                                          ")</f>
        <v xml:space="preserve">     Supplies                                          </v>
      </c>
      <c r="C90" s="14"/>
      <c r="D90" s="1">
        <f>SUM(OSRRefD21_18x_0)</f>
        <v>6941.0899999999992</v>
      </c>
      <c r="E90" s="1">
        <f>SUM(OSRRefD21_18x_1)</f>
        <v>26030.74</v>
      </c>
      <c r="F90" s="1">
        <f>SUM(OSRRefD21_18x_2)</f>
        <v>51611.32</v>
      </c>
      <c r="G90" s="1">
        <f>SUM(OSRRefD21_18x_3)</f>
        <v>90468.74</v>
      </c>
      <c r="H90" s="1">
        <f>SUM(OSRRefD21_18x_4)</f>
        <v>21671.710000000003</v>
      </c>
      <c r="I90" s="1">
        <f>SUM(OSRRefD21_18x_5)</f>
        <v>31034.079999999998</v>
      </c>
      <c r="J90" s="1">
        <f>SUM(OSRRefE21_18x_0)</f>
        <v>32275</v>
      </c>
      <c r="K90" s="1">
        <f>SUM(OSRRefE21_18x_1)</f>
        <v>31175</v>
      </c>
      <c r="L90" s="1">
        <f>SUM(OSRRefE21_18x_2)</f>
        <v>30475</v>
      </c>
      <c r="M90" s="1">
        <f>SUM(OSRRefE21_18x_3)</f>
        <v>30475</v>
      </c>
      <c r="N90" s="1">
        <f>SUM(OSRRefE21_18x_4)</f>
        <v>30475</v>
      </c>
      <c r="O90" s="1">
        <f>SUM(OSRRefE21_18x_5)</f>
        <v>26240</v>
      </c>
      <c r="Q90" s="2">
        <f>SUM(OSRRefD20_18x)+IFERROR(SUM(OSRRefE20_18x),0)</f>
        <v>408872.68</v>
      </c>
    </row>
    <row r="91" spans="1:17" s="35" customFormat="1" hidden="1" outlineLevel="1" x14ac:dyDescent="0.3">
      <c r="A91" s="34"/>
      <c r="B91" s="10" t="str">
        <f>CONCATENATE("          ","6234", " - ","EXPENDABLE SUPPLIES &amp; EQUIPMEN")</f>
        <v xml:space="preserve">          6234 - EXPENDABLE SUPPLIES &amp; EQUIPMEN</v>
      </c>
      <c r="C91" s="14"/>
      <c r="D91" s="2"/>
      <c r="E91" s="2"/>
      <c r="F91" s="2">
        <v>21.98</v>
      </c>
      <c r="G91" s="2"/>
      <c r="H91" s="2"/>
      <c r="I91" s="2">
        <v>315</v>
      </c>
      <c r="J91" s="2">
        <v>342</v>
      </c>
      <c r="K91" s="2">
        <v>342</v>
      </c>
      <c r="L91" s="2">
        <v>342</v>
      </c>
      <c r="M91" s="2">
        <v>342</v>
      </c>
      <c r="N91" s="2">
        <v>342</v>
      </c>
      <c r="O91" s="2">
        <v>338</v>
      </c>
      <c r="P91" s="9"/>
      <c r="Q91" s="2">
        <f>SUM(OSRRefD21_18_0x)+IFERROR(SUM(OSRRefE21_18_0x),0)</f>
        <v>2384.98</v>
      </c>
    </row>
    <row r="92" spans="1:17" s="35" customFormat="1" hidden="1" outlineLevel="1" x14ac:dyDescent="0.3">
      <c r="A92" s="34"/>
      <c r="B92" s="10" t="str">
        <f>CONCATENATE("          ","6235", " - ","COVID-19 EXPENSES")</f>
        <v xml:space="preserve">          6235 - COVID-19 EXPENSES</v>
      </c>
      <c r="C92" s="14"/>
      <c r="D92" s="2"/>
      <c r="E92" s="2"/>
      <c r="F92" s="2">
        <v>193.5</v>
      </c>
      <c r="G92" s="2"/>
      <c r="H92" s="2"/>
      <c r="I92" s="2"/>
      <c r="J92" s="2">
        <v>250</v>
      </c>
      <c r="K92" s="2">
        <v>250</v>
      </c>
      <c r="L92" s="2">
        <v>250</v>
      </c>
      <c r="M92" s="2">
        <v>250</v>
      </c>
      <c r="N92" s="2">
        <v>250</v>
      </c>
      <c r="O92" s="2">
        <v>225</v>
      </c>
      <c r="P92" s="9"/>
      <c r="Q92" s="2">
        <f>SUM(OSRRefD21_18_1x)+IFERROR(SUM(OSRRefE21_18_1x),0)</f>
        <v>1668.5</v>
      </c>
    </row>
    <row r="93" spans="1:17" s="35" customFormat="1" hidden="1" outlineLevel="1" x14ac:dyDescent="0.3">
      <c r="A93" s="34"/>
      <c r="B93" s="10" t="str">
        <f>CONCATENATE("          ","6237", " - ","JANITORIAL SUPPLIES")</f>
        <v xml:space="preserve">          6237 - JANITORIAL SUPPLIES</v>
      </c>
      <c r="C93" s="14"/>
      <c r="D93" s="2">
        <v>4704.12</v>
      </c>
      <c r="E93" s="2">
        <v>3475.37</v>
      </c>
      <c r="F93" s="2">
        <v>13499.58</v>
      </c>
      <c r="G93" s="2">
        <v>5772.14</v>
      </c>
      <c r="H93" s="2">
        <v>4642.7700000000004</v>
      </c>
      <c r="I93" s="2">
        <v>5551.25</v>
      </c>
      <c r="J93" s="2">
        <v>9975</v>
      </c>
      <c r="K93" s="2">
        <v>9975</v>
      </c>
      <c r="L93" s="2">
        <v>9975</v>
      </c>
      <c r="M93" s="2">
        <v>9975</v>
      </c>
      <c r="N93" s="2">
        <v>9975</v>
      </c>
      <c r="O93" s="2">
        <v>7925</v>
      </c>
      <c r="P93" s="9"/>
      <c r="Q93" s="2">
        <f>SUM(OSRRefD21_18_2x)+IFERROR(SUM(OSRRefE21_18_2x),0)</f>
        <v>95445.23</v>
      </c>
    </row>
    <row r="94" spans="1:17" s="35" customFormat="1" hidden="1" outlineLevel="1" x14ac:dyDescent="0.3">
      <c r="A94" s="34"/>
      <c r="B94" s="10" t="str">
        <f>CONCATENATE("          ","6239", " - ","KITCHEN SUPPLIES")</f>
        <v xml:space="preserve">          6239 - KITCHEN SUPPLIES</v>
      </c>
      <c r="C94" s="14"/>
      <c r="D94" s="2">
        <v>32.03</v>
      </c>
      <c r="E94" s="2">
        <v>3069.8</v>
      </c>
      <c r="F94" s="2">
        <v>11018.05</v>
      </c>
      <c r="G94" s="2">
        <v>10993.74</v>
      </c>
      <c r="H94" s="2">
        <v>1163.5</v>
      </c>
      <c r="I94" s="2">
        <v>738.59</v>
      </c>
      <c r="J94" s="2">
        <v>3850</v>
      </c>
      <c r="K94" s="2">
        <v>3550</v>
      </c>
      <c r="L94" s="2">
        <v>3300</v>
      </c>
      <c r="M94" s="2">
        <v>3300</v>
      </c>
      <c r="N94" s="2">
        <v>3300</v>
      </c>
      <c r="O94" s="2">
        <v>3300</v>
      </c>
      <c r="P94" s="9"/>
      <c r="Q94" s="2">
        <f>SUM(OSRRefD21_18_3x)+IFERROR(SUM(OSRRefE21_18_3x),0)</f>
        <v>47615.71</v>
      </c>
    </row>
    <row r="95" spans="1:17" s="35" customFormat="1" hidden="1" outlineLevel="1" x14ac:dyDescent="0.3">
      <c r="A95" s="34"/>
      <c r="B95" s="10" t="str">
        <f>CONCATENATE("          ","6241", " - ","OFFICE EXPENSE")</f>
        <v xml:space="preserve">          6241 - OFFICE EXPENSE</v>
      </c>
      <c r="C95" s="14"/>
      <c r="D95" s="2">
        <v>976.49</v>
      </c>
      <c r="E95" s="2">
        <v>4615.03</v>
      </c>
      <c r="F95" s="2">
        <v>2804.71</v>
      </c>
      <c r="G95" s="2">
        <v>8396.0300000000007</v>
      </c>
      <c r="H95" s="2">
        <v>816.89</v>
      </c>
      <c r="I95" s="2">
        <v>2665.46</v>
      </c>
      <c r="J95" s="2">
        <v>1645</v>
      </c>
      <c r="K95" s="2">
        <v>1445</v>
      </c>
      <c r="L95" s="2">
        <v>1495</v>
      </c>
      <c r="M95" s="2">
        <v>1445</v>
      </c>
      <c r="N95" s="2">
        <v>1495</v>
      </c>
      <c r="O95" s="2">
        <v>1445</v>
      </c>
      <c r="P95" s="9"/>
      <c r="Q95" s="2">
        <f>SUM(OSRRefD21_18_4x)+IFERROR(SUM(OSRRefE21_18_4x),0)</f>
        <v>29244.61</v>
      </c>
    </row>
    <row r="96" spans="1:17" s="35" customFormat="1" hidden="1" outlineLevel="1" x14ac:dyDescent="0.3">
      <c r="A96" s="34"/>
      <c r="B96" s="10" t="str">
        <f>CONCATENATE("          ","6243", " - ","PAPER SUPPLIES")</f>
        <v xml:space="preserve">          6243 - PAPER SUPPLIES</v>
      </c>
      <c r="C96" s="14"/>
      <c r="D96" s="2">
        <v>1228.45</v>
      </c>
      <c r="E96" s="2">
        <v>14670.54</v>
      </c>
      <c r="F96" s="2">
        <v>23477.5</v>
      </c>
      <c r="G96" s="2">
        <v>58236.19</v>
      </c>
      <c r="H96" s="2">
        <v>14679.37</v>
      </c>
      <c r="I96" s="2">
        <v>21319.1</v>
      </c>
      <c r="J96" s="2">
        <v>14200</v>
      </c>
      <c r="K96" s="2">
        <v>13900</v>
      </c>
      <c r="L96" s="2">
        <v>13900</v>
      </c>
      <c r="M96" s="2">
        <v>13900</v>
      </c>
      <c r="N96" s="2">
        <v>13900</v>
      </c>
      <c r="O96" s="2">
        <v>11800</v>
      </c>
      <c r="P96" s="9"/>
      <c r="Q96" s="2">
        <f>SUM(OSRRefD21_18_5x)+IFERROR(SUM(OSRRefE21_18_5x),0)</f>
        <v>215211.15</v>
      </c>
    </row>
    <row r="97" spans="1:17" s="35" customFormat="1" hidden="1" outlineLevel="1" x14ac:dyDescent="0.3">
      <c r="A97" s="34"/>
      <c r="B97" s="10" t="str">
        <f>CONCATENATE("          ","6244", " - ","SAFETY SUPPLY EXPENSE")</f>
        <v xml:space="preserve">          6244 - SAFETY SUPPLY EXPENSE</v>
      </c>
      <c r="C97" s="14"/>
      <c r="D97" s="2"/>
      <c r="E97" s="2"/>
      <c r="F97" s="2"/>
      <c r="G97" s="2"/>
      <c r="H97" s="2"/>
      <c r="I97" s="2"/>
      <c r="J97" s="2">
        <v>525</v>
      </c>
      <c r="K97" s="2">
        <v>525</v>
      </c>
      <c r="L97" s="2">
        <v>525</v>
      </c>
      <c r="M97" s="2">
        <v>575</v>
      </c>
      <c r="N97" s="2">
        <v>525</v>
      </c>
      <c r="O97" s="2">
        <v>525</v>
      </c>
      <c r="P97" s="9"/>
      <c r="Q97" s="2">
        <f>SUM(OSRRefD21_18_6x)+IFERROR(SUM(OSRRefE21_18_6x),0)</f>
        <v>3200</v>
      </c>
    </row>
    <row r="98" spans="1:17" s="35" customFormat="1" hidden="1" outlineLevel="1" x14ac:dyDescent="0.3">
      <c r="A98" s="34"/>
      <c r="B98" s="10" t="str">
        <f>CONCATENATE("          ","6245", " - ","PRINTING")</f>
        <v xml:space="preserve">          6245 - PRINTING</v>
      </c>
      <c r="C98" s="14"/>
      <c r="D98" s="2"/>
      <c r="E98" s="2"/>
      <c r="F98" s="2"/>
      <c r="G98" s="2">
        <v>1071</v>
      </c>
      <c r="H98" s="2"/>
      <c r="I98" s="2"/>
      <c r="J98" s="2">
        <v>400</v>
      </c>
      <c r="K98" s="2">
        <v>100</v>
      </c>
      <c r="L98" s="2">
        <v>100</v>
      </c>
      <c r="M98" s="2">
        <v>100</v>
      </c>
      <c r="N98" s="2">
        <v>100</v>
      </c>
      <c r="O98" s="2">
        <v>100</v>
      </c>
      <c r="P98" s="9"/>
      <c r="Q98" s="2">
        <f>SUM(OSRRefD21_18_7x)+IFERROR(SUM(OSRRefE21_18_7x),0)</f>
        <v>1971</v>
      </c>
    </row>
    <row r="99" spans="1:17" s="35" customFormat="1" hidden="1" outlineLevel="1" x14ac:dyDescent="0.3">
      <c r="A99" s="34"/>
      <c r="B99" s="10" t="str">
        <f>CONCATENATE("          ","6247", " - ","STORE SUPPLIES")</f>
        <v xml:space="preserve">          6247 - STORE SUPPLIES</v>
      </c>
      <c r="C99" s="14"/>
      <c r="D99" s="2"/>
      <c r="E99" s="2">
        <v>200</v>
      </c>
      <c r="F99" s="2">
        <v>596</v>
      </c>
      <c r="G99" s="2">
        <v>388.41</v>
      </c>
      <c r="H99" s="2">
        <v>116.23</v>
      </c>
      <c r="I99" s="2">
        <v>444.68</v>
      </c>
      <c r="J99" s="2"/>
      <c r="K99" s="2"/>
      <c r="L99" s="2"/>
      <c r="M99" s="2"/>
      <c r="N99" s="2"/>
      <c r="O99" s="2"/>
      <c r="P99" s="9"/>
      <c r="Q99" s="2">
        <f>SUM(OSRRefD21_18_8x)+IFERROR(SUM(OSRRefE21_18_8x),0)</f>
        <v>1745.3200000000002</v>
      </c>
    </row>
    <row r="100" spans="1:17" s="35" customFormat="1" hidden="1" outlineLevel="1" x14ac:dyDescent="0.3">
      <c r="A100" s="34"/>
      <c r="B100" s="10" t="str">
        <f>CONCATENATE("          ","6248", " - ","UNIFORMS")</f>
        <v xml:space="preserve">          6248 - UNIFORMS</v>
      </c>
      <c r="C100" s="14"/>
      <c r="D100" s="2"/>
      <c r="E100" s="2"/>
      <c r="F100" s="2"/>
      <c r="G100" s="2">
        <v>5611.23</v>
      </c>
      <c r="H100" s="2">
        <v>252.95</v>
      </c>
      <c r="I100" s="2"/>
      <c r="J100" s="2">
        <v>1088</v>
      </c>
      <c r="K100" s="2">
        <v>1088</v>
      </c>
      <c r="L100" s="2">
        <v>588</v>
      </c>
      <c r="M100" s="2">
        <v>588</v>
      </c>
      <c r="N100" s="2">
        <v>588</v>
      </c>
      <c r="O100" s="2">
        <v>582</v>
      </c>
      <c r="P100" s="9"/>
      <c r="Q100" s="2">
        <f>SUM(OSRRefD21_18_9x)+IFERROR(SUM(OSRRefE21_18_9x),0)</f>
        <v>10386.18</v>
      </c>
    </row>
    <row r="101" spans="1:17" s="35" customFormat="1" collapsed="1" x14ac:dyDescent="0.3">
      <c r="A101" s="34"/>
      <c r="B101" s="14" t="str">
        <f>CONCATENATE("     ","Telephone/Data Lines                              ")</f>
        <v xml:space="preserve">     Telephone/Data Lines                              </v>
      </c>
      <c r="C101" s="14"/>
      <c r="D101" s="1">
        <f>SUM(OSRRefD21_19x_0)</f>
        <v>1022.55</v>
      </c>
      <c r="E101" s="1">
        <f>SUM(OSRRefD21_19x_1)</f>
        <v>1344.95</v>
      </c>
      <c r="F101" s="1">
        <f>SUM(OSRRefD21_19x_2)</f>
        <v>1508.13</v>
      </c>
      <c r="G101" s="1">
        <f>SUM(OSRRefD21_19x_3)</f>
        <v>2237.61</v>
      </c>
      <c r="H101" s="1">
        <f>SUM(OSRRefD21_19x_4)</f>
        <v>1356.1</v>
      </c>
      <c r="I101" s="1">
        <f>SUM(OSRRefD21_19x_5)</f>
        <v>461.45</v>
      </c>
      <c r="J101" s="1">
        <f>SUM(OSRRefE21_19x_0)</f>
        <v>1111</v>
      </c>
      <c r="K101" s="1">
        <f>SUM(OSRRefE21_19x_1)</f>
        <v>961</v>
      </c>
      <c r="L101" s="1">
        <f>SUM(OSRRefE21_19x_2)</f>
        <v>961</v>
      </c>
      <c r="M101" s="1">
        <f>SUM(OSRRefE21_19x_3)</f>
        <v>961</v>
      </c>
      <c r="N101" s="1">
        <f>SUM(OSRRefE21_19x_4)</f>
        <v>1111</v>
      </c>
      <c r="O101" s="1">
        <f>SUM(OSRRefE21_19x_5)</f>
        <v>965</v>
      </c>
      <c r="Q101" s="2">
        <f>SUM(OSRRefD20_19x)+IFERROR(SUM(OSRRefE20_19x),0)</f>
        <v>14000.79</v>
      </c>
    </row>
    <row r="102" spans="1:17" s="35" customFormat="1" hidden="1" outlineLevel="1" x14ac:dyDescent="0.3">
      <c r="A102" s="34"/>
      <c r="B102" s="10" t="str">
        <f>CONCATENATE("          ","6303", " - ","DATA PHONE LINES")</f>
        <v xml:space="preserve">          6303 - DATA PHONE LINES</v>
      </c>
      <c r="C102" s="14"/>
      <c r="D102" s="2"/>
      <c r="E102" s="2"/>
      <c r="F102" s="2"/>
      <c r="G102" s="2"/>
      <c r="H102" s="2"/>
      <c r="I102" s="2"/>
      <c r="J102" s="2">
        <v>193</v>
      </c>
      <c r="K102" s="2">
        <v>193</v>
      </c>
      <c r="L102" s="2">
        <v>193</v>
      </c>
      <c r="M102" s="2">
        <v>193</v>
      </c>
      <c r="N102" s="2">
        <v>193</v>
      </c>
      <c r="O102" s="2">
        <v>197</v>
      </c>
      <c r="P102" s="9"/>
      <c r="Q102" s="2">
        <f>SUM(OSRRefD21_19_0x)+IFERROR(SUM(OSRRefE21_19_0x),0)</f>
        <v>1162</v>
      </c>
    </row>
    <row r="103" spans="1:17" s="35" customFormat="1" hidden="1" outlineLevel="1" x14ac:dyDescent="0.3">
      <c r="A103" s="34"/>
      <c r="B103" s="10" t="str">
        <f>CONCATENATE("          ","6309", " - ","TELEPHONE")</f>
        <v xml:space="preserve">          6309 - TELEPHONE</v>
      </c>
      <c r="C103" s="14"/>
      <c r="D103" s="2">
        <v>1022.55</v>
      </c>
      <c r="E103" s="2">
        <v>1344.95</v>
      </c>
      <c r="F103" s="2">
        <v>1508.13</v>
      </c>
      <c r="G103" s="2">
        <v>2237.61</v>
      </c>
      <c r="H103" s="2">
        <v>1356.1</v>
      </c>
      <c r="I103" s="2">
        <v>461.45</v>
      </c>
      <c r="J103" s="2">
        <v>918</v>
      </c>
      <c r="K103" s="2">
        <v>768</v>
      </c>
      <c r="L103" s="2">
        <v>768</v>
      </c>
      <c r="M103" s="2">
        <v>768</v>
      </c>
      <c r="N103" s="2">
        <v>918</v>
      </c>
      <c r="O103" s="2">
        <v>768</v>
      </c>
      <c r="P103" s="9"/>
      <c r="Q103" s="2">
        <f>SUM(OSRRefD21_19_1x)+IFERROR(SUM(OSRRefE21_19_1x),0)</f>
        <v>12838.79</v>
      </c>
    </row>
    <row r="104" spans="1:17" s="35" customFormat="1" collapsed="1" x14ac:dyDescent="0.3">
      <c r="A104" s="34"/>
      <c r="B104" s="14" t="str">
        <f>CONCATENATE("     ","Training                                          ")</f>
        <v xml:space="preserve">     Training                                          </v>
      </c>
      <c r="C104" s="14"/>
      <c r="D104" s="1">
        <f>SUM(OSRRefD21_20x_0)</f>
        <v>0</v>
      </c>
      <c r="E104" s="1">
        <f>SUM(OSRRefD21_20x_1)</f>
        <v>0</v>
      </c>
      <c r="F104" s="1">
        <f>SUM(OSRRefD21_20x_2)</f>
        <v>0</v>
      </c>
      <c r="G104" s="1">
        <f>SUM(OSRRefD21_20x_3)</f>
        <v>0</v>
      </c>
      <c r="H104" s="1">
        <f>SUM(OSRRefD21_20x_4)</f>
        <v>245</v>
      </c>
      <c r="I104" s="1">
        <f>SUM(OSRRefD21_20x_5)</f>
        <v>825</v>
      </c>
      <c r="J104" s="1">
        <f>SUM(OSRRefE21_20x_0)</f>
        <v>2720</v>
      </c>
      <c r="K104" s="1">
        <f>SUM(OSRRefE21_20x_1)</f>
        <v>640</v>
      </c>
      <c r="L104" s="1">
        <f>SUM(OSRRefE21_20x_2)</f>
        <v>3915</v>
      </c>
      <c r="M104" s="1">
        <f>SUM(OSRRefE21_20x_3)</f>
        <v>615</v>
      </c>
      <c r="N104" s="1">
        <f>SUM(OSRRefE21_20x_4)</f>
        <v>615</v>
      </c>
      <c r="O104" s="1">
        <f>SUM(OSRRefE21_20x_5)</f>
        <v>1615</v>
      </c>
      <c r="Q104" s="2">
        <f>SUM(OSRRefD20_20x)+IFERROR(SUM(OSRRefE20_20x),0)</f>
        <v>11190</v>
      </c>
    </row>
    <row r="105" spans="1:17" s="35" customFormat="1" hidden="1" outlineLevel="1" x14ac:dyDescent="0.3">
      <c r="A105" s="34"/>
      <c r="B105" s="10" t="str">
        <f>CONCATENATE("          ","6376", " - ","TRAINING")</f>
        <v xml:space="preserve">          6376 - TRAINING</v>
      </c>
      <c r="C105" s="14"/>
      <c r="D105" s="2"/>
      <c r="E105" s="2"/>
      <c r="F105" s="2"/>
      <c r="G105" s="2"/>
      <c r="H105" s="2">
        <v>245</v>
      </c>
      <c r="I105" s="2">
        <v>825</v>
      </c>
      <c r="J105" s="2">
        <v>2720</v>
      </c>
      <c r="K105" s="2">
        <v>640</v>
      </c>
      <c r="L105" s="2">
        <v>3915</v>
      </c>
      <c r="M105" s="2">
        <v>615</v>
      </c>
      <c r="N105" s="2">
        <v>615</v>
      </c>
      <c r="O105" s="2">
        <v>1615</v>
      </c>
      <c r="P105" s="9"/>
      <c r="Q105" s="2">
        <f>SUM(OSRRefD21_20_0x)+IFERROR(SUM(OSRRefE21_20_0x),0)</f>
        <v>11190</v>
      </c>
    </row>
    <row r="106" spans="1:17" s="35" customFormat="1" collapsed="1" x14ac:dyDescent="0.3">
      <c r="A106" s="34"/>
      <c r="B106" s="14" t="str">
        <f>CONCATENATE("     ","Travel                                            ")</f>
        <v xml:space="preserve">     Travel                                            </v>
      </c>
      <c r="C106" s="14"/>
      <c r="D106" s="1">
        <f>SUM(OSRRefD21_21x_0)</f>
        <v>0</v>
      </c>
      <c r="E106" s="1">
        <f>SUM(OSRRefD21_21x_1)</f>
        <v>595</v>
      </c>
      <c r="F106" s="1">
        <f>SUM(OSRRefD21_21x_2)</f>
        <v>104.02</v>
      </c>
      <c r="G106" s="1">
        <f>SUM(OSRRefD21_21x_3)</f>
        <v>0</v>
      </c>
      <c r="H106" s="1">
        <f>SUM(OSRRefD21_21x_4)</f>
        <v>18.59</v>
      </c>
      <c r="I106" s="1">
        <f>SUM(OSRRefD21_21x_5)</f>
        <v>0</v>
      </c>
      <c r="J106" s="1">
        <f>SUM(OSRRefE21_21x_0)</f>
        <v>0</v>
      </c>
      <c r="K106" s="1">
        <f>SUM(OSRRefE21_21x_1)</f>
        <v>600</v>
      </c>
      <c r="L106" s="1">
        <f>SUM(OSRRefE21_21x_2)</f>
        <v>600</v>
      </c>
      <c r="M106" s="1">
        <f>SUM(OSRRefE21_21x_3)</f>
        <v>0</v>
      </c>
      <c r="N106" s="1">
        <f>SUM(OSRRefE21_21x_4)</f>
        <v>0</v>
      </c>
      <c r="O106" s="1">
        <f>SUM(OSRRefE21_21x_5)</f>
        <v>0</v>
      </c>
      <c r="Q106" s="2">
        <f>SUM(OSRRefD20_21x)+IFERROR(SUM(OSRRefE20_21x),0)</f>
        <v>1917.6100000000001</v>
      </c>
    </row>
    <row r="107" spans="1:17" s="35" customFormat="1" hidden="1" outlineLevel="1" x14ac:dyDescent="0.3">
      <c r="A107" s="34"/>
      <c r="B107" s="10" t="str">
        <f>CONCATENATE("          ","6292", " - ","TRAVEL/CONFERENCE")</f>
        <v xml:space="preserve">          6292 - TRAVEL/CONFERENCE</v>
      </c>
      <c r="C107" s="14"/>
      <c r="D107" s="2"/>
      <c r="E107" s="2">
        <v>595</v>
      </c>
      <c r="F107" s="2"/>
      <c r="G107" s="2"/>
      <c r="H107" s="2">
        <v>18.59</v>
      </c>
      <c r="I107" s="2"/>
      <c r="J107" s="2"/>
      <c r="K107" s="2">
        <v>600</v>
      </c>
      <c r="L107" s="2">
        <v>600</v>
      </c>
      <c r="M107" s="2"/>
      <c r="N107" s="2"/>
      <c r="O107" s="2"/>
      <c r="P107" s="9"/>
      <c r="Q107" s="2">
        <f>SUM(OSRRefD21_21_0x)+IFERROR(SUM(OSRRefE21_21_0x),0)</f>
        <v>1813.5900000000001</v>
      </c>
    </row>
    <row r="108" spans="1:17" s="35" customFormat="1" hidden="1" outlineLevel="1" x14ac:dyDescent="0.3">
      <c r="A108" s="34"/>
      <c r="B108" s="10" t="str">
        <f>CONCATENATE("          ","6298", " - ","VEHICLE MILEAGE")</f>
        <v xml:space="preserve">          6298 - VEHICLE MILEAGE</v>
      </c>
      <c r="C108" s="14"/>
      <c r="D108" s="2"/>
      <c r="E108" s="2"/>
      <c r="F108" s="2">
        <v>104.02</v>
      </c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SUM(OSRRefD21_21_1x)+IFERROR(SUM(OSRRefE21_21_1x),0)</f>
        <v>104.02</v>
      </c>
    </row>
    <row r="109" spans="1:17" s="35" customFormat="1" collapsed="1" x14ac:dyDescent="0.3">
      <c r="A109" s="34"/>
      <c r="B109" s="14" t="str">
        <f>CONCATENATE("     ","Utilities                                         ")</f>
        <v xml:space="preserve">     Utilities                                         </v>
      </c>
      <c r="C109" s="14"/>
      <c r="D109" s="1">
        <f>SUM(OSRRefD21_22x_0)</f>
        <v>8150</v>
      </c>
      <c r="E109" s="1">
        <f>SUM(OSRRefD21_22x_1)</f>
        <v>8150</v>
      </c>
      <c r="F109" s="1">
        <f>SUM(OSRRefD21_22x_2)</f>
        <v>8150</v>
      </c>
      <c r="G109" s="1">
        <f>SUM(OSRRefD21_22x_3)</f>
        <v>5750</v>
      </c>
      <c r="H109" s="1">
        <f>SUM(OSRRefD21_22x_4)</f>
        <v>8150</v>
      </c>
      <c r="I109" s="1">
        <f>SUM(OSRRefD21_22x_5)</f>
        <v>8150</v>
      </c>
      <c r="J109" s="1">
        <f>SUM(OSRRefE21_22x_0)</f>
        <v>8667</v>
      </c>
      <c r="K109" s="1">
        <f>SUM(OSRRefE21_22x_1)</f>
        <v>8667</v>
      </c>
      <c r="L109" s="1">
        <f>SUM(OSRRefE21_22x_2)</f>
        <v>8667</v>
      </c>
      <c r="M109" s="1">
        <f>SUM(OSRRefE21_22x_3)</f>
        <v>8667</v>
      </c>
      <c r="N109" s="1">
        <f>SUM(OSRRefE21_22x_4)</f>
        <v>8667</v>
      </c>
      <c r="O109" s="1">
        <f>SUM(OSRRefE21_22x_5)</f>
        <v>8663</v>
      </c>
      <c r="Q109" s="2">
        <f>SUM(OSRRefD20_22x)+IFERROR(SUM(OSRRefE20_22x),0)</f>
        <v>98498</v>
      </c>
    </row>
    <row r="110" spans="1:17" s="35" customFormat="1" hidden="1" outlineLevel="1" x14ac:dyDescent="0.3">
      <c r="A110" s="34"/>
      <c r="B110" s="10" t="str">
        <f>CONCATENATE("          ","6274", " - ","UTILITIES")</f>
        <v xml:space="preserve">          6274 - UTILITIES</v>
      </c>
      <c r="C110" s="14"/>
      <c r="D110" s="2">
        <v>8150</v>
      </c>
      <c r="E110" s="2">
        <v>8150</v>
      </c>
      <c r="F110" s="2">
        <v>8150</v>
      </c>
      <c r="G110" s="2">
        <v>5750</v>
      </c>
      <c r="H110" s="2">
        <v>8150</v>
      </c>
      <c r="I110" s="2">
        <v>8150</v>
      </c>
      <c r="J110" s="2">
        <v>8667</v>
      </c>
      <c r="K110" s="2">
        <v>8667</v>
      </c>
      <c r="L110" s="2">
        <v>8667</v>
      </c>
      <c r="M110" s="2">
        <v>8667</v>
      </c>
      <c r="N110" s="2">
        <v>8667</v>
      </c>
      <c r="O110" s="2">
        <v>8663</v>
      </c>
      <c r="P110" s="9"/>
      <c r="Q110" s="2">
        <f>SUM(OSRRefD21_22_0x)+IFERROR(SUM(OSRRefE21_22_0x),0)</f>
        <v>98498</v>
      </c>
    </row>
    <row r="111" spans="1:17" s="29" customFormat="1" x14ac:dyDescent="0.3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3">
      <c r="A112" s="23"/>
      <c r="B112" s="16" t="s">
        <v>293</v>
      </c>
      <c r="C112" s="22"/>
      <c r="D112" s="3">
        <f>--2655.42</f>
        <v>2655.42</v>
      </c>
      <c r="E112" s="3">
        <f>--11546.83</f>
        <v>11546.83</v>
      </c>
      <c r="F112" s="3">
        <f>--2991.8</f>
        <v>2991.8</v>
      </c>
      <c r="G112" s="3">
        <f>--6812.67</f>
        <v>6812.67</v>
      </c>
      <c r="H112" s="3">
        <f>--6011.63</f>
        <v>6011.63</v>
      </c>
      <c r="I112" s="3">
        <f>--104600.16</f>
        <v>104600.16</v>
      </c>
      <c r="J112" s="3">
        <v>46218.59</v>
      </c>
      <c r="K112" s="3">
        <v>37154.720000000001</v>
      </c>
      <c r="L112" s="3">
        <v>21607.09</v>
      </c>
      <c r="M112" s="3">
        <v>28752.13</v>
      </c>
      <c r="N112" s="3">
        <v>29120.49</v>
      </c>
      <c r="O112" s="3">
        <v>12000</v>
      </c>
      <c r="Q112" s="2">
        <f>SUM(OSRRefD23_0x)+IFERROR(SUM(OSRRefE23_0x),0)</f>
        <v>309471.53000000003</v>
      </c>
    </row>
    <row r="113" spans="1:17" x14ac:dyDescent="0.3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3">
      <c r="A114" s="6"/>
      <c r="B114" s="17" t="s">
        <v>276</v>
      </c>
      <c r="C114" s="17"/>
      <c r="D114" s="7">
        <f t="shared" ref="D114:O114" si="4">IFERROR(+D23-D26+D112, 0)</f>
        <v>-317324.16000000009</v>
      </c>
      <c r="E114" s="7">
        <f t="shared" si="4"/>
        <v>-157299.33000000016</v>
      </c>
      <c r="F114" s="7">
        <f t="shared" si="4"/>
        <v>478205.95999999967</v>
      </c>
      <c r="G114" s="7">
        <f t="shared" si="4"/>
        <v>311683.56999999977</v>
      </c>
      <c r="H114" s="7">
        <f t="shared" si="4"/>
        <v>420777.39</v>
      </c>
      <c r="I114" s="7">
        <f t="shared" si="4"/>
        <v>269260.17000000027</v>
      </c>
      <c r="J114" s="7">
        <f t="shared" si="4"/>
        <v>-250987.69774074815</v>
      </c>
      <c r="K114" s="7">
        <f t="shared" si="4"/>
        <v>357507.93748423085</v>
      </c>
      <c r="L114" s="7">
        <f t="shared" si="4"/>
        <v>295357.53783920879</v>
      </c>
      <c r="M114" s="7">
        <f t="shared" si="4"/>
        <v>229715.43312925939</v>
      </c>
      <c r="N114" s="7">
        <f t="shared" si="4"/>
        <v>-2951.943641278649</v>
      </c>
      <c r="O114" s="7">
        <f t="shared" si="4"/>
        <v>-371608.70111112983</v>
      </c>
      <c r="Q114" s="7">
        <f>IFERROR(+Q23-Q26+Q112, 0)</f>
        <v>1262336.1659595387</v>
      </c>
    </row>
    <row r="115" spans="1:17" s="6" customFormat="1" x14ac:dyDescent="0.3">
      <c r="B115" s="16"/>
      <c r="C115" s="16"/>
      <c r="D115" s="4">
        <f t="shared" ref="D115:O115" si="5">IFERROR(D114/D10, 0)</f>
        <v>-7.4332791594030061</v>
      </c>
      <c r="E115" s="4">
        <f t="shared" si="5"/>
        <v>-0.29374127852659226</v>
      </c>
      <c r="F115" s="4">
        <f t="shared" si="5"/>
        <v>0.30718038826564709</v>
      </c>
      <c r="G115" s="4">
        <f t="shared" si="5"/>
        <v>0.17406280083541131</v>
      </c>
      <c r="H115" s="4">
        <f t="shared" si="5"/>
        <v>0.30325642251689805</v>
      </c>
      <c r="I115" s="4">
        <f t="shared" si="5"/>
        <v>0.25194235069363147</v>
      </c>
      <c r="J115" s="4">
        <f t="shared" si="5"/>
        <v>-0.42179332750873988</v>
      </c>
      <c r="K115" s="4">
        <f t="shared" si="5"/>
        <v>0.23462713652583062</v>
      </c>
      <c r="L115" s="4">
        <f t="shared" si="5"/>
        <v>0.2019719631906918</v>
      </c>
      <c r="M115" s="4">
        <f t="shared" si="5"/>
        <v>0.15575089201856368</v>
      </c>
      <c r="N115" s="4">
        <f t="shared" si="5"/>
        <v>-3.4699519478635045E-3</v>
      </c>
      <c r="O115" s="4">
        <f t="shared" si="5"/>
        <v>-4.3937843018247476</v>
      </c>
      <c r="P115" s="18"/>
      <c r="Q115" s="4">
        <f>IFERROR(Q114/Q10, 0)</f>
        <v>0.10202191870078818</v>
      </c>
    </row>
    <row r="116" spans="1:17" x14ac:dyDescent="0.3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">
      <c r="A117" s="25"/>
      <c r="B117" s="6" t="s">
        <v>125</v>
      </c>
      <c r="C117" s="6"/>
      <c r="D117" s="3">
        <v>19722.46</v>
      </c>
      <c r="E117" s="3">
        <v>66678.61</v>
      </c>
      <c r="F117" s="3">
        <v>177853.95</v>
      </c>
      <c r="G117" s="3">
        <v>189510.82</v>
      </c>
      <c r="H117" s="3">
        <v>179089.22</v>
      </c>
      <c r="I117" s="3">
        <v>135334.26999999999</v>
      </c>
      <c r="J117" s="3">
        <v>53619</v>
      </c>
      <c r="K117" s="3">
        <v>169166</v>
      </c>
      <c r="L117" s="3">
        <v>174765</v>
      </c>
      <c r="M117" s="3">
        <v>192032</v>
      </c>
      <c r="N117" s="3">
        <v>115001</v>
      </c>
      <c r="O117" s="3">
        <v>-105840</v>
      </c>
      <c r="Q117" s="2">
        <f>SUM(OSRRefD28_0x)+IFERROR(SUM(OSRRefE28_0x),0)</f>
        <v>1366932.33</v>
      </c>
    </row>
    <row r="118" spans="1:17" x14ac:dyDescent="0.3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" thickBot="1" x14ac:dyDescent="0.35">
      <c r="A119" s="6"/>
      <c r="B119" s="17" t="s">
        <v>124</v>
      </c>
      <c r="C119" s="17"/>
      <c r="D119" s="8">
        <f t="shared" ref="D119:O119" si="6">IFERROR(+D114-D117, 0)</f>
        <v>-337046.62000000011</v>
      </c>
      <c r="E119" s="8">
        <f t="shared" si="6"/>
        <v>-223977.94000000018</v>
      </c>
      <c r="F119" s="8">
        <f t="shared" si="6"/>
        <v>300352.00999999966</v>
      </c>
      <c r="G119" s="8">
        <f t="shared" si="6"/>
        <v>122172.74999999977</v>
      </c>
      <c r="H119" s="8">
        <f t="shared" si="6"/>
        <v>241688.17</v>
      </c>
      <c r="I119" s="8">
        <f t="shared" si="6"/>
        <v>133925.90000000029</v>
      </c>
      <c r="J119" s="8">
        <f t="shared" si="6"/>
        <v>-304606.69774074818</v>
      </c>
      <c r="K119" s="8">
        <f t="shared" si="6"/>
        <v>188341.93748423085</v>
      </c>
      <c r="L119" s="8">
        <f t="shared" si="6"/>
        <v>120592.53783920879</v>
      </c>
      <c r="M119" s="8">
        <f t="shared" si="6"/>
        <v>37683.433129259385</v>
      </c>
      <c r="N119" s="8">
        <f t="shared" si="6"/>
        <v>-117952.94364127865</v>
      </c>
      <c r="O119" s="8">
        <f t="shared" si="6"/>
        <v>-265768.70111112983</v>
      </c>
      <c r="Q119" s="8">
        <f>IFERROR(+Q114-Q117, 0)</f>
        <v>-104596.16404046142</v>
      </c>
    </row>
    <row r="120" spans="1:17" ht="15" thickTop="1" x14ac:dyDescent="0.3">
      <c r="A120" s="5"/>
      <c r="B120" s="5"/>
      <c r="C120" s="5"/>
      <c r="D120" s="4">
        <f t="shared" ref="D120:O120" si="7">IFERROR(D119/D10, 0)</f>
        <v>-7.8952753430221776</v>
      </c>
      <c r="E120" s="4">
        <f t="shared" si="7"/>
        <v>-0.4182571308940245</v>
      </c>
      <c r="F120" s="4">
        <f t="shared" si="7"/>
        <v>0.19293412204266019</v>
      </c>
      <c r="G120" s="4">
        <f t="shared" si="7"/>
        <v>6.8228591743749831E-2</v>
      </c>
      <c r="H120" s="4">
        <f t="shared" si="7"/>
        <v>0.17418590337958959</v>
      </c>
      <c r="I120" s="4">
        <f t="shared" si="7"/>
        <v>0.12531228092428323</v>
      </c>
      <c r="J120" s="4">
        <f t="shared" si="7"/>
        <v>-0.51190187319153246</v>
      </c>
      <c r="K120" s="4">
        <f t="shared" si="7"/>
        <v>0.12360600939552915</v>
      </c>
      <c r="L120" s="4">
        <f t="shared" si="7"/>
        <v>8.2463822632460604E-2</v>
      </c>
      <c r="M120" s="4">
        <f t="shared" si="7"/>
        <v>2.5549995680531689E-2</v>
      </c>
      <c r="N120" s="4">
        <f t="shared" si="7"/>
        <v>-0.13865137559570836</v>
      </c>
      <c r="O120" s="4">
        <f t="shared" si="7"/>
        <v>-3.1423654596000028</v>
      </c>
      <c r="P120" s="18"/>
      <c r="Q120" s="4">
        <f>IFERROR(Q119/Q10, 0)</f>
        <v>-8.4534545011936985E-3</v>
      </c>
    </row>
    <row r="121" spans="1:17" x14ac:dyDescent="0.3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3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" thickBot="1" x14ac:dyDescent="0.35">
      <c r="A123" s="6"/>
      <c r="B123" s="17" t="s">
        <v>294</v>
      </c>
      <c r="C123" s="17"/>
      <c r="D123" s="8">
        <f t="shared" ref="D123:O123" si="8">IFERROR(SUM(D119:D122), 0)</f>
        <v>-337054.51527534315</v>
      </c>
      <c r="E123" s="8">
        <f t="shared" si="8"/>
        <v>-223978.35825713107</v>
      </c>
      <c r="F123" s="8">
        <f t="shared" si="8"/>
        <v>300352.20293412171</v>
      </c>
      <c r="G123" s="8">
        <f t="shared" si="8"/>
        <v>122172.81822859151</v>
      </c>
      <c r="H123" s="8">
        <f t="shared" si="8"/>
        <v>241688.34418590341</v>
      </c>
      <c r="I123" s="8">
        <f t="shared" si="8"/>
        <v>133926.02531228121</v>
      </c>
      <c r="J123" s="8">
        <f t="shared" si="8"/>
        <v>-304607.20964262134</v>
      </c>
      <c r="K123" s="8">
        <f t="shared" si="8"/>
        <v>188342.06109024025</v>
      </c>
      <c r="L123" s="8">
        <f t="shared" si="8"/>
        <v>120592.62030303142</v>
      </c>
      <c r="M123" s="8">
        <f t="shared" si="8"/>
        <v>37683.458679255069</v>
      </c>
      <c r="N123" s="8">
        <f t="shared" si="8"/>
        <v>-117953.08229265425</v>
      </c>
      <c r="O123" s="8">
        <f t="shared" si="8"/>
        <v>-265771.84347658942</v>
      </c>
      <c r="Q123" s="8">
        <f>IFERROR(SUM(Q119:Q122), 0)</f>
        <v>-104596.17249391592</v>
      </c>
    </row>
    <row r="124" spans="1:17" ht="15" thickTop="1" x14ac:dyDescent="0.3">
      <c r="A124" s="5"/>
      <c r="C124" s="5"/>
      <c r="D124" s="4">
        <f t="shared" ref="D124:O124" si="9">IFERROR(D123/D10, 0)</f>
        <v>-7.8954602888695575</v>
      </c>
      <c r="E124" s="4">
        <f t="shared" si="9"/>
        <v>-0.41825791194874595</v>
      </c>
      <c r="F124" s="4">
        <f t="shared" si="9"/>
        <v>0.19293424597582598</v>
      </c>
      <c r="G124" s="4">
        <f t="shared" si="9"/>
        <v>6.8228629846687941E-2</v>
      </c>
      <c r="H124" s="4">
        <f t="shared" si="9"/>
        <v>0.17418602891626331</v>
      </c>
      <c r="I124" s="4">
        <f t="shared" si="9"/>
        <v>0.12531239817694123</v>
      </c>
      <c r="J124" s="4">
        <f t="shared" si="9"/>
        <v>-0.51190273345996939</v>
      </c>
      <c r="K124" s="4">
        <f t="shared" si="9"/>
        <v>0.12360609051631279</v>
      </c>
      <c r="L124" s="4">
        <f t="shared" si="9"/>
        <v>8.2463879023031414E-2</v>
      </c>
      <c r="M124" s="4">
        <f t="shared" si="9"/>
        <v>2.5550013003854573E-2</v>
      </c>
      <c r="N124" s="4">
        <f t="shared" si="9"/>
        <v>-0.13865153857768545</v>
      </c>
      <c r="O124" s="4">
        <f t="shared" si="9"/>
        <v>-3.1424026139399999</v>
      </c>
      <c r="P124" s="18"/>
      <c r="Q124" s="4">
        <f>IFERROR(Q123/Q10, 0)</f>
        <v>-8.453455184401288E-3</v>
      </c>
    </row>
    <row r="125" spans="1:17" x14ac:dyDescent="0.3">
      <c r="A125" s="5"/>
      <c r="B125" s="28">
        <v>44575.850666585648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Q125" s="13"/>
    </row>
    <row r="126" spans="1:17" x14ac:dyDescent="0.3">
      <c r="A126" s="5"/>
      <c r="B126" s="26" t="s">
        <v>54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  <row r="127" spans="1:17" x14ac:dyDescent="0.3">
      <c r="A127" s="5"/>
      <c r="B127" s="3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Q127" s="13"/>
    </row>
    <row r="128" spans="1:17" x14ac:dyDescent="0.3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Q12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53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58943.909999999996</v>
      </c>
      <c r="F10" s="3">
        <f>SUM(OSRRefD11x_2)</f>
        <v>146278.29999999999</v>
      </c>
      <c r="G10" s="3">
        <f>SUM(OSRRefD11x_3)</f>
        <v>206370.10000000003</v>
      </c>
      <c r="H10" s="3">
        <f>SUM(OSRRefD11x_4)</f>
        <v>117637.06</v>
      </c>
      <c r="I10" s="3">
        <f>SUM(OSRRefD11x_5)</f>
        <v>116384.09</v>
      </c>
      <c r="J10" s="3">
        <f>SUM(OSRRefE11x_0)</f>
        <v>186955</v>
      </c>
      <c r="K10" s="3">
        <f>SUM(OSRRefE11x_1)</f>
        <v>491350</v>
      </c>
      <c r="L10" s="3">
        <f>SUM(OSRRefE11x_2)</f>
        <v>466183</v>
      </c>
      <c r="M10" s="3">
        <f>SUM(OSRRefE11x_3)</f>
        <v>470329</v>
      </c>
      <c r="N10" s="3">
        <f>SUM(OSRRefE11x_4)</f>
        <v>288686</v>
      </c>
      <c r="O10" s="3">
        <f>SUM(OSRRefE11x_5)</f>
        <v>97601</v>
      </c>
      <c r="P10" s="24"/>
      <c r="Q10" s="3">
        <f>SUM(OSRRefG11x)</f>
        <v>2666419.77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f>--2128.3</f>
        <v>2128.3000000000002</v>
      </c>
      <c r="J11" s="2">
        <v>76065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803416.65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/>
      <c r="K12" s="2"/>
      <c r="L12" s="2"/>
      <c r="M12" s="2"/>
      <c r="N12" s="2"/>
      <c r="O12" s="2"/>
      <c r="Q12" s="2">
        <f>SUM(OSRRefD11_1x)+IFERROR(SUM(OSRRefE11_1x),0)</f>
        <v>146982.79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 t="shared" ref="D13:D14" si="0">0</f>
        <v>0</v>
      </c>
      <c r="E13" s="2">
        <f>0</f>
        <v>0</v>
      </c>
      <c r="F13" s="2">
        <f>--139.09</f>
        <v>139.09</v>
      </c>
      <c r="G13" s="2">
        <f>--4669.37</f>
        <v>4669.37</v>
      </c>
      <c r="H13" s="2">
        <f>--1549.19</f>
        <v>1549.19</v>
      </c>
      <c r="I13" s="2">
        <f>--1720.65</f>
        <v>1720.65</v>
      </c>
      <c r="J13" s="2"/>
      <c r="K13" s="2"/>
      <c r="L13" s="2"/>
      <c r="M13" s="2"/>
      <c r="N13" s="2"/>
      <c r="O13" s="2"/>
      <c r="Q13" s="2">
        <f>SUM(OSRRefD11_2x)+IFERROR(SUM(OSRRefE11_2x),0)</f>
        <v>8078.2999999999993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si="0"/>
        <v>0</v>
      </c>
      <c r="E14" s="2">
        <f>--5299.87</f>
        <v>5299.87</v>
      </c>
      <c r="F14" s="2">
        <f>--13245.23</f>
        <v>13245.23</v>
      </c>
      <c r="G14" s="2">
        <f>--21202.87</f>
        <v>21202.87</v>
      </c>
      <c r="H14" s="2">
        <f>--12930.99</f>
        <v>12930.99</v>
      </c>
      <c r="I14" s="2">
        <f>--10279.17</f>
        <v>10279.17</v>
      </c>
      <c r="J14" s="2">
        <v>110890</v>
      </c>
      <c r="K14" s="2">
        <v>302625</v>
      </c>
      <c r="L14" s="2">
        <v>286258</v>
      </c>
      <c r="M14" s="2">
        <v>282316</v>
      </c>
      <c r="N14" s="2">
        <v>172640</v>
      </c>
      <c r="O14" s="2">
        <v>55709</v>
      </c>
      <c r="Q14" s="2">
        <f>SUM(OSRRefD11_3x)+IFERROR(SUM(OSRRefE11_3x),0)</f>
        <v>1273396.1299999999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>
        <f>--77750.43</f>
        <v>77750.429999999993</v>
      </c>
      <c r="I15" s="2">
        <f>--82624.35</f>
        <v>82624.350000000006</v>
      </c>
      <c r="J15" s="2"/>
      <c r="K15" s="2"/>
      <c r="L15" s="2"/>
      <c r="M15" s="2"/>
      <c r="N15" s="2"/>
      <c r="O15" s="2"/>
      <c r="Q15" s="2">
        <f>SUM(OSRRefD11_4x)+IFERROR(SUM(OSRRefE11_4x),0)</f>
        <v>434545.9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0</f>
        <v>0</v>
      </c>
      <c r="E16" s="2">
        <f>--130.35</f>
        <v>130.35</v>
      </c>
      <c r="F16" s="2">
        <f>-130.35</f>
        <v>-130.35</v>
      </c>
      <c r="G16" s="2">
        <f t="shared" ref="G16:I16" si="1">0</f>
        <v>0</v>
      </c>
      <c r="H16" s="2">
        <f t="shared" si="1"/>
        <v>0</v>
      </c>
      <c r="I16" s="2">
        <f t="shared" si="1"/>
        <v>0</v>
      </c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3"/>
      <c r="B18" s="16" t="s">
        <v>218</v>
      </c>
      <c r="C18" s="22"/>
      <c r="D18" s="3">
        <f>SUM(OSRRefD14x_0)</f>
        <v>5059.3799999999992</v>
      </c>
      <c r="E18" s="3">
        <f>SUM(OSRRefD14x_1)</f>
        <v>17383.61</v>
      </c>
      <c r="F18" s="3">
        <f>SUM(OSRRefD14x_2)</f>
        <v>59124.75</v>
      </c>
      <c r="G18" s="3">
        <f>SUM(OSRRefD14x_3)</f>
        <v>89920.17</v>
      </c>
      <c r="H18" s="3">
        <f>SUM(OSRRefD14x_4)</f>
        <v>58189.270000000004</v>
      </c>
      <c r="I18" s="3">
        <f>SUM(OSRRefD14x_5)</f>
        <v>50419.22</v>
      </c>
      <c r="J18" s="3">
        <f>SUM(OSRRefE14x_0)</f>
        <v>69497</v>
      </c>
      <c r="K18" s="3">
        <f>SUM(OSRRefE14x_1)</f>
        <v>181056</v>
      </c>
      <c r="L18" s="3">
        <f>SUM(OSRRefE14x_2)</f>
        <v>173217</v>
      </c>
      <c r="M18" s="3">
        <f>SUM(OSRRefE14x_3)</f>
        <v>174655</v>
      </c>
      <c r="N18" s="3">
        <f>SUM(OSRRefE14x_4)</f>
        <v>106228</v>
      </c>
      <c r="O18" s="3">
        <f>SUM(OSRRefE14x_5)</f>
        <v>33858</v>
      </c>
      <c r="Q18" s="3">
        <f>SUM(OSRRefG14x)</f>
        <v>1018607.4</v>
      </c>
    </row>
    <row r="19" spans="1:17" s="9" customFormat="1" hidden="1" outlineLevel="1" x14ac:dyDescent="0.3">
      <c r="A19" s="23"/>
      <c r="B19" s="10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/>
      <c r="J19" s="2">
        <v>69497</v>
      </c>
      <c r="K19" s="2">
        <v>181056</v>
      </c>
      <c r="L19" s="2">
        <v>173217</v>
      </c>
      <c r="M19" s="2">
        <v>174655</v>
      </c>
      <c r="N19" s="2">
        <v>106228</v>
      </c>
      <c r="O19" s="2">
        <v>33858</v>
      </c>
      <c r="Q19" s="2">
        <f>SUM(OSRRefD14_0x)+IFERROR(SUM(OSRRefE14_0x),0)</f>
        <v>738511</v>
      </c>
    </row>
    <row r="20" spans="1:17" s="9" customFormat="1" hidden="1" outlineLevel="1" x14ac:dyDescent="0.3">
      <c r="A20" s="23"/>
      <c r="B20" s="10" t="str">
        <f>CONCATENATE("          ","5053", " - ","PURCHASES @ COST-FOOD")</f>
        <v xml:space="preserve">          5053 - PURCHASES @ COST-FOOD</v>
      </c>
      <c r="C20" s="22"/>
      <c r="D20" s="2">
        <v>8224.3799999999992</v>
      </c>
      <c r="E20" s="2">
        <v>52132.61</v>
      </c>
      <c r="F20" s="2">
        <v>47497.75</v>
      </c>
      <c r="G20" s="2">
        <v>82589.19</v>
      </c>
      <c r="H20" s="2">
        <v>42622.29</v>
      </c>
      <c r="I20" s="2">
        <v>25650.33</v>
      </c>
      <c r="J20" s="2"/>
      <c r="K20" s="2"/>
      <c r="L20" s="2"/>
      <c r="M20" s="2"/>
      <c r="N20" s="2"/>
      <c r="O20" s="2"/>
      <c r="Q20" s="2">
        <f>SUM(OSRRefD14_1x)+IFERROR(SUM(OSRRefE14_1x),0)</f>
        <v>258716.55</v>
      </c>
    </row>
    <row r="21" spans="1:17" s="9" customFormat="1" hidden="1" outlineLevel="1" x14ac:dyDescent="0.3">
      <c r="A21" s="23"/>
      <c r="B21" s="10" t="str">
        <f>CONCATENATE("          ","5059", " - ","PURCHASES @ COST-FOOD")</f>
        <v xml:space="preserve">          5059 - PURCHASES @ COST-FOOD</v>
      </c>
      <c r="C21" s="22"/>
      <c r="D21" s="2">
        <v>-3165</v>
      </c>
      <c r="E21" s="2">
        <v>-34749</v>
      </c>
      <c r="F21" s="2">
        <v>11627</v>
      </c>
      <c r="G21" s="2">
        <v>7330.98</v>
      </c>
      <c r="H21" s="2">
        <v>15566.98</v>
      </c>
      <c r="I21" s="2">
        <v>24768.89</v>
      </c>
      <c r="J21" s="2"/>
      <c r="K21" s="2"/>
      <c r="L21" s="2"/>
      <c r="M21" s="2"/>
      <c r="N21" s="2"/>
      <c r="O21" s="2"/>
      <c r="Q21" s="2">
        <f>SUM(OSRRefD14_2x)+IFERROR(SUM(OSRRefE14_2x),0)</f>
        <v>21379.85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7">
        <f t="shared" ref="D23:O23" si="2">IFERROR(+D10-D18, 0)</f>
        <v>14642.929999999998</v>
      </c>
      <c r="E23" s="7">
        <f t="shared" si="2"/>
        <v>41560.299999999996</v>
      </c>
      <c r="F23" s="7">
        <f t="shared" si="2"/>
        <v>87153.549999999988</v>
      </c>
      <c r="G23" s="7">
        <f t="shared" si="2"/>
        <v>116449.93000000004</v>
      </c>
      <c r="H23" s="7">
        <f t="shared" si="2"/>
        <v>59447.789999999994</v>
      </c>
      <c r="I23" s="7">
        <f t="shared" si="2"/>
        <v>65964.87</v>
      </c>
      <c r="J23" s="7">
        <f t="shared" si="2"/>
        <v>117458</v>
      </c>
      <c r="K23" s="7">
        <f t="shared" si="2"/>
        <v>310294</v>
      </c>
      <c r="L23" s="7">
        <f t="shared" si="2"/>
        <v>292966</v>
      </c>
      <c r="M23" s="7">
        <f t="shared" si="2"/>
        <v>295674</v>
      </c>
      <c r="N23" s="7">
        <f t="shared" si="2"/>
        <v>182458</v>
      </c>
      <c r="O23" s="7">
        <f t="shared" si="2"/>
        <v>63743</v>
      </c>
      <c r="Q23" s="7">
        <f>IFERROR(+Q10-Q18, 0)</f>
        <v>1647812.37</v>
      </c>
    </row>
    <row r="24" spans="1:17" s="6" customFormat="1" x14ac:dyDescent="0.3">
      <c r="B24" s="16"/>
      <c r="C24" s="16"/>
      <c r="D24" s="4">
        <f t="shared" ref="D24:O24" si="3">IFERROR(D23/D10, 0)</f>
        <v>0.74320879125341144</v>
      </c>
      <c r="E24" s="4">
        <f t="shared" si="3"/>
        <v>0.70508217049055621</v>
      </c>
      <c r="F24" s="4">
        <f t="shared" si="3"/>
        <v>0.59580641831358438</v>
      </c>
      <c r="G24" s="4">
        <f t="shared" si="3"/>
        <v>0.56427714092303105</v>
      </c>
      <c r="H24" s="4">
        <f t="shared" si="3"/>
        <v>0.5053491646255015</v>
      </c>
      <c r="I24" s="4">
        <f t="shared" si="3"/>
        <v>0.56678597564323441</v>
      </c>
      <c r="J24" s="4">
        <f t="shared" si="3"/>
        <v>0.62826883474632933</v>
      </c>
      <c r="K24" s="4">
        <f t="shared" si="3"/>
        <v>0.63151317797903739</v>
      </c>
      <c r="L24" s="4">
        <f t="shared" si="3"/>
        <v>0.62843561434029127</v>
      </c>
      <c r="M24" s="4">
        <f t="shared" si="3"/>
        <v>0.62865355952960589</v>
      </c>
      <c r="N24" s="4">
        <f t="shared" si="3"/>
        <v>0.63202926362899481</v>
      </c>
      <c r="O24" s="4">
        <f t="shared" si="3"/>
        <v>0.6530978166207313</v>
      </c>
      <c r="P24" s="18"/>
      <c r="Q24" s="4">
        <f>IFERROR(Q23/Q10, 0)</f>
        <v>0.61798685583553115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2">
        <f>SUM(OSRRefD20x_0)</f>
        <v>157781.03</v>
      </c>
      <c r="E26" s="12">
        <f>SUM(OSRRefD20x_1)</f>
        <v>229400.47999999998</v>
      </c>
      <c r="F26" s="12">
        <f>SUM(OSRRefD20x_2)</f>
        <v>192395.54</v>
      </c>
      <c r="G26" s="12">
        <f>SUM(OSRRefD20x_3)</f>
        <v>229933.69999999998</v>
      </c>
      <c r="H26" s="12">
        <f>SUM(OSRRefD20x_4)</f>
        <v>181675.08000000002</v>
      </c>
      <c r="I26" s="12">
        <f>SUM(OSRRefD20x_5)</f>
        <v>200790.74000000002</v>
      </c>
      <c r="J26" s="12">
        <f>SUM(OSRRefE20x_0)</f>
        <v>239580.14211380022</v>
      </c>
      <c r="K26" s="12">
        <f>SUM(OSRRefE20x_1)</f>
        <v>261242.54424581071</v>
      </c>
      <c r="L26" s="12">
        <f>SUM(OSRRefE20x_2)</f>
        <v>252316.35161258292</v>
      </c>
      <c r="M26" s="12">
        <f>SUM(OSRRefE20x_3)</f>
        <v>278899.65717729251</v>
      </c>
      <c r="N26" s="12">
        <f>SUM(OSRRefE20x_4)</f>
        <v>225207.18999382033</v>
      </c>
      <c r="O26" s="12">
        <f>SUM(OSRRefE20x_5)</f>
        <v>190751.17827967141</v>
      </c>
      <c r="Q26" s="12">
        <f>SUM(OSRRefG20x)</f>
        <v>2639973.6334229778</v>
      </c>
    </row>
    <row r="27" spans="1:17" s="35" customFormat="1" collapsed="1" x14ac:dyDescent="0.3">
      <c r="A27" s="34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25335.059999999998</v>
      </c>
      <c r="E27" s="1">
        <f>SUM(OSRRefD21_0x_1)</f>
        <v>28199.300000000003</v>
      </c>
      <c r="F27" s="1">
        <f>SUM(OSRRefD21_0x_2)</f>
        <v>28818.44</v>
      </c>
      <c r="G27" s="1">
        <f>SUM(OSRRefD21_0x_3)</f>
        <v>36468.590000000004</v>
      </c>
      <c r="H27" s="1">
        <f>SUM(OSRRefD21_0x_4)</f>
        <v>29406.38</v>
      </c>
      <c r="I27" s="1">
        <f>SUM(OSRRefD21_0x_5)</f>
        <v>32222.719999999998</v>
      </c>
      <c r="J27" s="1">
        <f>SUM(OSRRefE21_0x_0)</f>
        <v>36494.5882603387</v>
      </c>
      <c r="K27" s="1">
        <f>SUM(OSRRefE21_0x_1)</f>
        <v>36582.080615041501</v>
      </c>
      <c r="L27" s="1">
        <f>SUM(OSRRefE21_0x_2)</f>
        <v>35139.274791813703</v>
      </c>
      <c r="M27" s="1">
        <f>SUM(OSRRefE21_0x_3)</f>
        <v>41051.309123831015</v>
      </c>
      <c r="N27" s="1">
        <f>SUM(OSRRefE21_0x_4)</f>
        <v>34553.407043051106</v>
      </c>
      <c r="O27" s="1">
        <f>SUM(OSRRefE21_0x_5)</f>
        <v>33958.759708902202</v>
      </c>
      <c r="Q27" s="2">
        <f>SUM(OSRRefD20_0x)+IFERROR(SUM(OSRRefE20_0x),0)</f>
        <v>398229.90954297828</v>
      </c>
    </row>
    <row r="28" spans="1:17" s="35" customFormat="1" hidden="1" outlineLevel="1" x14ac:dyDescent="0.3">
      <c r="A28" s="34"/>
      <c r="B28" s="10" t="str">
        <f>CONCATENATE("          ","6111", " - ","F.I.C.A.")</f>
        <v xml:space="preserve">          6111 - F.I.C.A.</v>
      </c>
      <c r="C28" s="14"/>
      <c r="D28" s="2">
        <v>3198.56</v>
      </c>
      <c r="E28" s="2">
        <v>4424.72</v>
      </c>
      <c r="F28" s="2">
        <v>4467.9399999999996</v>
      </c>
      <c r="G28" s="2">
        <v>6380.12</v>
      </c>
      <c r="H28" s="2">
        <v>4199.12</v>
      </c>
      <c r="I28" s="2">
        <v>5068.42</v>
      </c>
      <c r="J28" s="2">
        <v>4927.7971654156199</v>
      </c>
      <c r="K28" s="2">
        <v>4599.6273588876902</v>
      </c>
      <c r="L28" s="2">
        <v>4317.6108038136899</v>
      </c>
      <c r="M28" s="2">
        <v>5554.4906212156202</v>
      </c>
      <c r="N28" s="2">
        <v>4355.0965294356902</v>
      </c>
      <c r="O28" s="2">
        <v>4138.6021593636897</v>
      </c>
      <c r="P28" s="9"/>
      <c r="Q28" s="2">
        <f>SUM(OSRRefD21_0_0x)+IFERROR(SUM(OSRRefE21_0_0x),0)</f>
        <v>55632.104638132005</v>
      </c>
    </row>
    <row r="29" spans="1:17" s="35" customFormat="1" hidden="1" outlineLevel="1" x14ac:dyDescent="0.3">
      <c r="A29" s="34"/>
      <c r="B29" s="10" t="str">
        <f>CONCATENATE("          ","6112", " - ","COMPENSATION INSURANCE")</f>
        <v xml:space="preserve">          6112 - COMPENSATION INSURANCE</v>
      </c>
      <c r="C29" s="14"/>
      <c r="D29" s="2">
        <v>1106.6199999999999</v>
      </c>
      <c r="E29" s="2">
        <v>1624.76</v>
      </c>
      <c r="F29" s="2">
        <v>2250.73</v>
      </c>
      <c r="G29" s="2">
        <v>3215.5</v>
      </c>
      <c r="H29" s="2">
        <v>2024.87</v>
      </c>
      <c r="I29" s="2">
        <v>2388.9299999999998</v>
      </c>
      <c r="J29" s="2">
        <v>3807.3566114069199</v>
      </c>
      <c r="K29" s="2">
        <v>4396.9125333615402</v>
      </c>
      <c r="L29" s="2">
        <v>4111.9884515415397</v>
      </c>
      <c r="M29" s="2">
        <v>4975.9375444069301</v>
      </c>
      <c r="N29" s="2">
        <v>3585.4897962515402</v>
      </c>
      <c r="O29" s="2">
        <v>2769.4188515415399</v>
      </c>
      <c r="P29" s="9"/>
      <c r="Q29" s="2">
        <f>SUM(OSRRefD21_0_1x)+IFERROR(SUM(OSRRefE21_0_1x),0)</f>
        <v>36258.513788510012</v>
      </c>
    </row>
    <row r="30" spans="1:17" s="35" customFormat="1" hidden="1" outlineLevel="1" x14ac:dyDescent="0.3">
      <c r="A30" s="34"/>
      <c r="B30" s="10" t="str">
        <f>CONCATENATE("          ","6113", " - ","GROUP INSURANCE")</f>
        <v xml:space="preserve">          6113 - GROUP INSURANCE</v>
      </c>
      <c r="C30" s="14"/>
      <c r="D30" s="2">
        <v>11932.59</v>
      </c>
      <c r="E30" s="2">
        <v>12571.09</v>
      </c>
      <c r="F30" s="2">
        <v>12646.1</v>
      </c>
      <c r="G30" s="2">
        <v>12571.1</v>
      </c>
      <c r="H30" s="2">
        <v>12571.1</v>
      </c>
      <c r="I30" s="2">
        <v>12673.39</v>
      </c>
      <c r="J30" s="2">
        <v>16033.7076923077</v>
      </c>
      <c r="K30" s="2">
        <v>16827.461538461499</v>
      </c>
      <c r="L30" s="2">
        <v>16033.7076923077</v>
      </c>
      <c r="M30" s="2">
        <v>17685</v>
      </c>
      <c r="N30" s="2">
        <v>16553.723076923099</v>
      </c>
      <c r="O30" s="2">
        <v>17475.0461538462</v>
      </c>
      <c r="P30" s="9"/>
      <c r="Q30" s="2">
        <f>SUM(OSRRefD21_0_2x)+IFERROR(SUM(OSRRefE21_0_2x),0)</f>
        <v>175574.01615384617</v>
      </c>
    </row>
    <row r="31" spans="1:17" s="35" customFormat="1" hidden="1" outlineLevel="1" x14ac:dyDescent="0.3">
      <c r="A31" s="34"/>
      <c r="B31" s="10" t="str">
        <f>CONCATENATE("          ","6114", " - ","STATE UNEMPLOYMENT INSURANCE")</f>
        <v xml:space="preserve">          6114 - STATE UNEMPLOYMENT INSURANCE</v>
      </c>
      <c r="C31" s="14"/>
      <c r="D31" s="2">
        <v>108.7</v>
      </c>
      <c r="E31" s="2">
        <v>149.68</v>
      </c>
      <c r="F31" s="2">
        <v>199.79</v>
      </c>
      <c r="G31" s="2">
        <v>288.29000000000002</v>
      </c>
      <c r="H31" s="2">
        <v>182.23</v>
      </c>
      <c r="I31" s="2">
        <v>213.56</v>
      </c>
      <c r="J31" s="2">
        <v>210.961711977692</v>
      </c>
      <c r="K31" s="2">
        <v>243.62839894615399</v>
      </c>
      <c r="L31" s="2">
        <v>227.84104876615399</v>
      </c>
      <c r="M31" s="2">
        <v>275.711578977692</v>
      </c>
      <c r="N31" s="2">
        <v>198.66830005615401</v>
      </c>
      <c r="O31" s="2">
        <v>153.45064876615399</v>
      </c>
      <c r="P31" s="9"/>
      <c r="Q31" s="2">
        <f>SUM(OSRRefD21_0_3x)+IFERROR(SUM(OSRRefE21_0_3x),0)</f>
        <v>2452.51168749</v>
      </c>
    </row>
    <row r="32" spans="1:17" s="35" customFormat="1" hidden="1" outlineLevel="1" x14ac:dyDescent="0.3">
      <c r="A32" s="34"/>
      <c r="B32" s="10" t="str">
        <f>CONCATENATE("          ","6115", " - ","P.E.R.S.")</f>
        <v xml:space="preserve">          6115 - P.E.R.S.</v>
      </c>
      <c r="C32" s="14"/>
      <c r="D32" s="2">
        <v>2989.03</v>
      </c>
      <c r="E32" s="2">
        <v>3152.51</v>
      </c>
      <c r="F32" s="2">
        <v>3152.51</v>
      </c>
      <c r="G32" s="2">
        <v>4728.7700000000004</v>
      </c>
      <c r="H32" s="2">
        <v>3325.3</v>
      </c>
      <c r="I32" s="2">
        <v>3682.62</v>
      </c>
      <c r="J32" s="2">
        <v>3998.9636980769301</v>
      </c>
      <c r="K32" s="2">
        <v>3199.1709584615401</v>
      </c>
      <c r="L32" s="2">
        <v>3199.1709584615401</v>
      </c>
      <c r="M32" s="2">
        <v>3998.9636980769301</v>
      </c>
      <c r="N32" s="2">
        <v>3199.1709584615401</v>
      </c>
      <c r="O32" s="2">
        <v>3199.1709584615401</v>
      </c>
      <c r="P32" s="9"/>
      <c r="Q32" s="2">
        <f>SUM(OSRRefD21_0_4x)+IFERROR(SUM(OSRRefE21_0_4x),0)</f>
        <v>41825.351230000015</v>
      </c>
    </row>
    <row r="33" spans="1:17" s="35" customFormat="1" hidden="1" outlineLevel="1" x14ac:dyDescent="0.3">
      <c r="A33" s="34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3">
      <c r="A34" s="34"/>
      <c r="B34" s="10" t="str">
        <f>CONCATENATE("          ","6118", " - ","VACATION")</f>
        <v xml:space="preserve">          6118 - VACATION</v>
      </c>
      <c r="C34" s="14"/>
      <c r="D34" s="2">
        <v>2954.94</v>
      </c>
      <c r="E34" s="2">
        <v>2973.5</v>
      </c>
      <c r="F34" s="2">
        <v>2982.74</v>
      </c>
      <c r="G34" s="2">
        <v>4487.97</v>
      </c>
      <c r="H34" s="2">
        <v>3350.12</v>
      </c>
      <c r="I34" s="2">
        <v>3610.56</v>
      </c>
      <c r="J34" s="2">
        <v>3235.7892540769199</v>
      </c>
      <c r="K34" s="2">
        <v>2698.4747184615399</v>
      </c>
      <c r="L34" s="2">
        <v>2654.76409446154</v>
      </c>
      <c r="M34" s="2">
        <v>3326.9340540769199</v>
      </c>
      <c r="N34" s="2">
        <v>2683.4795664615399</v>
      </c>
      <c r="O34" s="2">
        <v>2734.63729446154</v>
      </c>
      <c r="P34" s="9"/>
      <c r="Q34" s="2">
        <f>SUM(OSRRefD21_0_6x)+IFERROR(SUM(OSRRefE21_0_6x),0)</f>
        <v>37693.908982000001</v>
      </c>
    </row>
    <row r="35" spans="1:17" s="35" customFormat="1" hidden="1" outlineLevel="1" x14ac:dyDescent="0.3">
      <c r="A35" s="34"/>
      <c r="B35" s="10" t="str">
        <f>CONCATENATE("          ","6119", " - ","SICK LEAVE")</f>
        <v xml:space="preserve">          6119 - SICK LEAVE</v>
      </c>
      <c r="C35" s="14"/>
      <c r="D35" s="2">
        <v>1898.78</v>
      </c>
      <c r="E35" s="2">
        <v>1911.66</v>
      </c>
      <c r="F35" s="2">
        <v>1922.83</v>
      </c>
      <c r="G35" s="2">
        <v>2900.7</v>
      </c>
      <c r="H35" s="2">
        <v>2220.08</v>
      </c>
      <c r="I35" s="2">
        <v>2592.46</v>
      </c>
      <c r="J35" s="2">
        <v>2135.01212707692</v>
      </c>
      <c r="K35" s="2">
        <v>2655.8051084615399</v>
      </c>
      <c r="L35" s="2">
        <v>2473.1917424615399</v>
      </c>
      <c r="M35" s="2">
        <v>2889.2716270769201</v>
      </c>
      <c r="N35" s="2">
        <v>2016.77881546154</v>
      </c>
      <c r="O35" s="2">
        <v>1543.4336424615401</v>
      </c>
      <c r="P35" s="9"/>
      <c r="Q35" s="2">
        <f>SUM(OSRRefD21_0_7x)+IFERROR(SUM(OSRRefE21_0_7x),0)</f>
        <v>27160.003063</v>
      </c>
    </row>
    <row r="36" spans="1:17" s="35" customFormat="1" hidden="1" outlineLevel="1" x14ac:dyDescent="0.3">
      <c r="A36" s="34"/>
      <c r="B36" s="10" t="str">
        <f>CONCATENATE("          ","6156", " - ","EMPLOYEE MEALS")</f>
        <v xml:space="preserve">          6156 - EMPLOYEE MEALS</v>
      </c>
      <c r="C36" s="14"/>
      <c r="D36" s="2">
        <v>1145.8399999999999</v>
      </c>
      <c r="E36" s="2">
        <v>1391.38</v>
      </c>
      <c r="F36" s="2">
        <v>1195.8</v>
      </c>
      <c r="G36" s="2">
        <v>1896.14</v>
      </c>
      <c r="H36" s="2">
        <v>1533.56</v>
      </c>
      <c r="I36" s="2">
        <v>1992.78</v>
      </c>
      <c r="J36" s="2">
        <v>2145</v>
      </c>
      <c r="K36" s="2">
        <v>1961</v>
      </c>
      <c r="L36" s="2">
        <v>2121</v>
      </c>
      <c r="M36" s="2">
        <v>2345</v>
      </c>
      <c r="N36" s="2">
        <v>1961</v>
      </c>
      <c r="O36" s="2">
        <v>1945</v>
      </c>
      <c r="P36" s="9"/>
      <c r="Q36" s="2">
        <f>SUM(OSRRefD21_0_8x)+IFERROR(SUM(OSRRefE21_0_8x),0)</f>
        <v>21633.5</v>
      </c>
    </row>
    <row r="37" spans="1:17" s="35" customFormat="1" collapsed="1" x14ac:dyDescent="0.3">
      <c r="A37" s="34"/>
      <c r="B37" s="14" t="str">
        <f>CONCATENATE("     ","*Payroll                                          ")</f>
        <v xml:space="preserve">     *Payroll                                          </v>
      </c>
      <c r="C37" s="14"/>
      <c r="D37" s="1">
        <f>SUM(OSRRefD21_1x_0)</f>
        <v>52602.950000000004</v>
      </c>
      <c r="E37" s="1">
        <f>SUM(OSRRefD21_1x_1)</f>
        <v>62536.37</v>
      </c>
      <c r="F37" s="1">
        <f>SUM(OSRRefD21_1x_2)</f>
        <v>73219.69</v>
      </c>
      <c r="G37" s="1">
        <f>SUM(OSRRefD21_1x_3)</f>
        <v>86531.97</v>
      </c>
      <c r="H37" s="1">
        <f>SUM(OSRRefD21_1x_4)</f>
        <v>65477.14</v>
      </c>
      <c r="I37" s="1">
        <f>SUM(OSRRefD21_1x_5)</f>
        <v>76083.17</v>
      </c>
      <c r="J37" s="1">
        <f>SUM(OSRRefE21_1x_0)</f>
        <v>95183.053853461504</v>
      </c>
      <c r="K37" s="1">
        <f>SUM(OSRRefE21_1x_1)</f>
        <v>110778.4636307692</v>
      </c>
      <c r="L37" s="1">
        <f>SUM(OSRRefE21_1x_2)</f>
        <v>103472.8268207692</v>
      </c>
      <c r="M37" s="1">
        <f>SUM(OSRRefE21_1x_3)</f>
        <v>125241.09805346149</v>
      </c>
      <c r="N37" s="1">
        <f>SUM(OSRRefE21_1x_4)</f>
        <v>90023.782950769208</v>
      </c>
      <c r="O37" s="1">
        <f>SUM(OSRRefE21_1x_5)</f>
        <v>68818.918570769194</v>
      </c>
      <c r="Q37" s="2">
        <f>SUM(OSRRefD20_1x)+IFERROR(SUM(OSRRefE20_1x),0)</f>
        <v>1009969.4338799999</v>
      </c>
    </row>
    <row r="38" spans="1:17" s="35" customFormat="1" hidden="1" outlineLevel="1" x14ac:dyDescent="0.3">
      <c r="A38" s="34"/>
      <c r="B38" s="10" t="str">
        <f>CONCATENATE("          ","6001", " - ","ADMINISTRATIVE SALARIES")</f>
        <v xml:space="preserve">          6001 - ADMINISTRATIVE SALARIES</v>
      </c>
      <c r="C38" s="14"/>
      <c r="D38" s="2">
        <v>13836.28</v>
      </c>
      <c r="E38" s="2">
        <v>8855.42</v>
      </c>
      <c r="F38" s="2">
        <v>10515.82</v>
      </c>
      <c r="G38" s="2">
        <v>10516.14</v>
      </c>
      <c r="H38" s="2">
        <v>9209.65</v>
      </c>
      <c r="I38" s="2">
        <v>10936.46</v>
      </c>
      <c r="J38" s="2">
        <v>12835.384615384601</v>
      </c>
      <c r="K38" s="2">
        <v>10268.307692307701</v>
      </c>
      <c r="L38" s="2">
        <v>10268.307692307701</v>
      </c>
      <c r="M38" s="2">
        <v>12835.384615384601</v>
      </c>
      <c r="N38" s="2">
        <v>10268.307692307701</v>
      </c>
      <c r="O38" s="2">
        <v>10268.307692307701</v>
      </c>
      <c r="P38" s="9"/>
      <c r="Q38" s="2">
        <f>SUM(OSRRefD21_1_0x)+IFERROR(SUM(OSRRefE21_1_0x),0)</f>
        <v>130613.77</v>
      </c>
    </row>
    <row r="39" spans="1:17" s="35" customFormat="1" hidden="1" outlineLevel="1" x14ac:dyDescent="0.3">
      <c r="A39" s="34"/>
      <c r="B39" s="10" t="str">
        <f>CONCATENATE("          ","6002", " - ","STAFF SALARIES")</f>
        <v xml:space="preserve">          6002 - STAFF SALARIES</v>
      </c>
      <c r="C39" s="14"/>
      <c r="D39" s="2">
        <v>23724.02</v>
      </c>
      <c r="E39" s="2">
        <v>20808.45</v>
      </c>
      <c r="F39" s="2">
        <v>19952.88</v>
      </c>
      <c r="G39" s="2">
        <v>25037.65</v>
      </c>
      <c r="H39" s="2">
        <v>21413.4</v>
      </c>
      <c r="I39" s="2">
        <v>24011.85</v>
      </c>
      <c r="J39" s="2">
        <v>29940.7912980769</v>
      </c>
      <c r="K39" s="2">
        <v>23952.633038461499</v>
      </c>
      <c r="L39" s="2">
        <v>23952.633038461499</v>
      </c>
      <c r="M39" s="2">
        <v>29940.7912980769</v>
      </c>
      <c r="N39" s="2">
        <v>23952.633038461499</v>
      </c>
      <c r="O39" s="2">
        <v>23952.633038461499</v>
      </c>
      <c r="P39" s="9"/>
      <c r="Q39" s="2">
        <f>SUM(OSRRefD21_1_1x)+IFERROR(SUM(OSRRefE21_1_1x),0)</f>
        <v>290640.36474999983</v>
      </c>
    </row>
    <row r="40" spans="1:17" s="35" customFormat="1" hidden="1" outlineLevel="1" x14ac:dyDescent="0.3">
      <c r="A40" s="34"/>
      <c r="B40" s="10" t="str">
        <f>CONCATENATE("          ","6003", " - ","STAFF HOURLY-9 MONTH")</f>
        <v xml:space="preserve">          6003 - STAFF HOURLY-9 MONTH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5" customFormat="1" hidden="1" outlineLevel="1" x14ac:dyDescent="0.3">
      <c r="A41" s="34"/>
      <c r="B41" s="10" t="str">
        <f>CONCATENATE("          ","6004", " - ","STAFF HOURLY")</f>
        <v xml:space="preserve">          6004 - STAFF HOURLY</v>
      </c>
      <c r="C41" s="14"/>
      <c r="D41" s="2">
        <v>7726.26</v>
      </c>
      <c r="E41" s="2">
        <v>8001.1</v>
      </c>
      <c r="F41" s="2">
        <v>9010.67</v>
      </c>
      <c r="G41" s="2">
        <v>11612.94</v>
      </c>
      <c r="H41" s="2">
        <v>9506.17</v>
      </c>
      <c r="I41" s="2">
        <v>13267.98</v>
      </c>
      <c r="J41" s="2">
        <v>15805.842689999999</v>
      </c>
      <c r="K41" s="2">
        <v>20689.174200000001</v>
      </c>
      <c r="L41" s="2">
        <v>17101.295190000001</v>
      </c>
      <c r="M41" s="2">
        <v>23766.23619</v>
      </c>
      <c r="N41" s="2">
        <v>17104.58022</v>
      </c>
      <c r="O41" s="2">
        <v>16098.45894</v>
      </c>
      <c r="P41" s="9"/>
      <c r="Q41" s="2">
        <f>SUM(OSRRefD21_1_3x)+IFERROR(SUM(OSRRefE21_1_3x),0)</f>
        <v>169690.70743000001</v>
      </c>
    </row>
    <row r="42" spans="1:17" s="35" customFormat="1" hidden="1" outlineLevel="1" x14ac:dyDescent="0.3">
      <c r="A42" s="34"/>
      <c r="B42" s="10" t="str">
        <f>CONCATENATE("          ","6005", " - ","TEMPORARY WAGES-HOURLY")</f>
        <v xml:space="preserve">          6005 - TEMPORARY WAGES-HOURLY</v>
      </c>
      <c r="C42" s="14"/>
      <c r="D42" s="2">
        <v>3353.39</v>
      </c>
      <c r="E42" s="2">
        <v>10218.36</v>
      </c>
      <c r="F42" s="2">
        <v>16568.47</v>
      </c>
      <c r="G42" s="2">
        <v>21712.23</v>
      </c>
      <c r="H42" s="2">
        <v>10102.19</v>
      </c>
      <c r="I42" s="2">
        <v>13727.83</v>
      </c>
      <c r="J42" s="2">
        <v>8331.2232999999997</v>
      </c>
      <c r="K42" s="2">
        <v>13448.070299999999</v>
      </c>
      <c r="L42" s="2">
        <v>12499.94865</v>
      </c>
      <c r="M42" s="2">
        <v>12853.3536</v>
      </c>
      <c r="N42" s="2">
        <v>11265.885550000001</v>
      </c>
      <c r="O42" s="2">
        <v>11716.8531</v>
      </c>
      <c r="P42" s="9"/>
      <c r="Q42" s="2">
        <f>SUM(OSRRefD21_1_4x)+IFERROR(SUM(OSRRefE21_1_4x),0)</f>
        <v>145797.8045</v>
      </c>
    </row>
    <row r="43" spans="1:17" s="35" customFormat="1" hidden="1" outlineLevel="1" x14ac:dyDescent="0.3">
      <c r="A43" s="34"/>
      <c r="B43" s="10" t="str">
        <f>CONCATENATE("          ","6006", " - ","TEMPORARY PART TIME")</f>
        <v xml:space="preserve">          6006 - TEMPORARY PART TIME</v>
      </c>
      <c r="C43" s="14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5" customFormat="1" hidden="1" outlineLevel="1" x14ac:dyDescent="0.3">
      <c r="A44" s="34"/>
      <c r="B44" s="10" t="str">
        <f>CONCATENATE("          ","6007", " - ","STUDENT HOURLY")</f>
        <v xml:space="preserve">          6007 - STUDENT HOURLY</v>
      </c>
      <c r="C44" s="14"/>
      <c r="D44" s="2">
        <v>3963</v>
      </c>
      <c r="E44" s="2">
        <v>14653.04</v>
      </c>
      <c r="F44" s="2">
        <v>17171.849999999999</v>
      </c>
      <c r="G44" s="2">
        <v>17653.009999999998</v>
      </c>
      <c r="H44" s="2">
        <v>15245.73</v>
      </c>
      <c r="I44" s="2">
        <v>14139.05</v>
      </c>
      <c r="J44" s="2">
        <v>1415.6956</v>
      </c>
      <c r="K44" s="2">
        <v>1415.6956</v>
      </c>
      <c r="L44" s="2">
        <v>1415.6956</v>
      </c>
      <c r="M44" s="2">
        <v>1415.6956</v>
      </c>
      <c r="N44" s="2">
        <v>1895.0555999999999</v>
      </c>
      <c r="O44" s="2">
        <v>0</v>
      </c>
      <c r="P44" s="9"/>
      <c r="Q44" s="2">
        <f>SUM(OSRRefD21_1_6x)+IFERROR(SUM(OSRRefE21_1_6x),0)</f>
        <v>90383.517999999996</v>
      </c>
    </row>
    <row r="45" spans="1:17" s="35" customFormat="1" hidden="1" outlineLevel="1" x14ac:dyDescent="0.3">
      <c r="A45" s="34"/>
      <c r="B45" s="10" t="str">
        <f>CONCATENATE("          ","6008", " - ","STUDENT HOURLY-FICA EXEMPT")</f>
        <v xml:space="preserve">          6008 - STUDENT HOURLY-FICA EXEMPT</v>
      </c>
      <c r="C45" s="14"/>
      <c r="D45" s="2"/>
      <c r="E45" s="2"/>
      <c r="F45" s="2"/>
      <c r="G45" s="2"/>
      <c r="H45" s="2"/>
      <c r="I45" s="2"/>
      <c r="J45" s="2">
        <v>26854.11635</v>
      </c>
      <c r="K45" s="2">
        <v>41004.582799999996</v>
      </c>
      <c r="L45" s="2">
        <v>38234.946649999998</v>
      </c>
      <c r="M45" s="2">
        <v>44429.636749999998</v>
      </c>
      <c r="N45" s="2">
        <v>25537.32085</v>
      </c>
      <c r="O45" s="2">
        <v>6782.6657999999998</v>
      </c>
      <c r="P45" s="9"/>
      <c r="Q45" s="2">
        <f>SUM(OSRRefD21_1_7x)+IFERROR(SUM(OSRRefE21_1_7x),0)</f>
        <v>182843.26919999998</v>
      </c>
    </row>
    <row r="46" spans="1:17" s="35" customFormat="1" hidden="1" outlineLevel="1" x14ac:dyDescent="0.3">
      <c r="A46" s="34"/>
      <c r="B46" s="10" t="str">
        <f>CONCATENATE("          ","6009", " - ","TEMPORARY-SEASONAL")</f>
        <v xml:space="preserve">          6009 - TEMPORARY-SEASONAL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5" customFormat="1" hidden="1" outlineLevel="1" x14ac:dyDescent="0.3">
      <c r="A47" s="34"/>
      <c r="B47" s="10" t="str">
        <f>CONCATENATE("          ","6010", " - ","GRATUITY")</f>
        <v xml:space="preserve">          6010 - GRATUITY</v>
      </c>
      <c r="C47" s="14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5" customFormat="1" collapsed="1" x14ac:dyDescent="0.3">
      <c r="A48" s="34"/>
      <c r="B48" s="14" t="str">
        <f>CONCATENATE("     ","Advertising/Promo                                 ")</f>
        <v xml:space="preserve">     Advertising/Promo                                 </v>
      </c>
      <c r="C48" s="14"/>
      <c r="D48" s="1">
        <f>SUM(OSRRefD21_2x_0)</f>
        <v>424.79</v>
      </c>
      <c r="E48" s="1">
        <f>SUM(OSRRefD21_2x_1)</f>
        <v>135.47</v>
      </c>
      <c r="F48" s="1">
        <f>SUM(OSRRefD21_2x_2)</f>
        <v>200.77</v>
      </c>
      <c r="G48" s="1">
        <f>SUM(OSRRefD21_2x_3)</f>
        <v>50.23</v>
      </c>
      <c r="H48" s="1">
        <f>SUM(OSRRefD21_2x_4)</f>
        <v>149.79</v>
      </c>
      <c r="I48" s="1">
        <f>SUM(OSRRefD21_2x_5)</f>
        <v>43.53</v>
      </c>
      <c r="J48" s="1">
        <f>SUM(OSRRefE21_2x_0)</f>
        <v>0</v>
      </c>
      <c r="K48" s="1">
        <f>SUM(OSRRefE21_2x_1)</f>
        <v>0</v>
      </c>
      <c r="L48" s="1">
        <f>SUM(OSRRefE21_2x_2)</f>
        <v>0</v>
      </c>
      <c r="M48" s="1">
        <f>SUM(OSRRefE21_2x_3)</f>
        <v>0</v>
      </c>
      <c r="N48" s="1">
        <f>SUM(OSRRefE21_2x_4)</f>
        <v>0</v>
      </c>
      <c r="O48" s="1">
        <f>SUM(OSRRefE21_2x_5)</f>
        <v>0</v>
      </c>
      <c r="Q48" s="2">
        <f>SUM(OSRRefD20_2x)+IFERROR(SUM(OSRRefE20_2x),0)</f>
        <v>1004.5799999999999</v>
      </c>
    </row>
    <row r="49" spans="1:17" s="35" customFormat="1" hidden="1" outlineLevel="1" x14ac:dyDescent="0.3">
      <c r="A49" s="34"/>
      <c r="B49" s="10" t="str">
        <f>CONCATENATE("          ","6362", " - ","ADVERTISING EXPENSE")</f>
        <v xml:space="preserve">          6362 - ADVERTISING EXPENSE</v>
      </c>
      <c r="C49" s="14"/>
      <c r="D49" s="2">
        <v>424.79</v>
      </c>
      <c r="E49" s="2">
        <v>135.47</v>
      </c>
      <c r="F49" s="2">
        <v>200.77</v>
      </c>
      <c r="G49" s="2">
        <v>50.23</v>
      </c>
      <c r="H49" s="2">
        <v>149.79</v>
      </c>
      <c r="I49" s="2">
        <v>43.53</v>
      </c>
      <c r="J49" s="2">
        <v>0</v>
      </c>
      <c r="K49" s="2"/>
      <c r="L49" s="2">
        <v>0</v>
      </c>
      <c r="M49" s="2"/>
      <c r="N49" s="2"/>
      <c r="O49" s="2"/>
      <c r="P49" s="9"/>
      <c r="Q49" s="2">
        <f>SUM(OSRRefD21_2_0x)+IFERROR(SUM(OSRRefE21_2_0x),0)</f>
        <v>1004.5799999999999</v>
      </c>
    </row>
    <row r="50" spans="1:17" s="35" customFormat="1" collapsed="1" x14ac:dyDescent="0.3">
      <c r="A50" s="34"/>
      <c r="B50" s="14" t="str">
        <f>CONCATENATE("     ","Bad Debts/Over/Short                              ")</f>
        <v xml:space="preserve">     Bad Debts/Over/Short                              </v>
      </c>
      <c r="C50" s="14"/>
      <c r="D50" s="1">
        <f>SUM(OSRRefD21_3x_0)</f>
        <v>-19.02</v>
      </c>
      <c r="E50" s="1">
        <f>SUM(OSRRefD21_3x_1)</f>
        <v>-89.52</v>
      </c>
      <c r="F50" s="1">
        <f>SUM(OSRRefD21_3x_2)</f>
        <v>7.74</v>
      </c>
      <c r="G50" s="1">
        <f>SUM(OSRRefD21_3x_3)</f>
        <v>-3.12</v>
      </c>
      <c r="H50" s="1">
        <f>SUM(OSRRefD21_3x_4)</f>
        <v>6.25</v>
      </c>
      <c r="I50" s="1">
        <f>SUM(OSRRefD21_3x_5)</f>
        <v>45.6</v>
      </c>
      <c r="J50" s="1">
        <f>SUM(OSRRefE21_3x_0)</f>
        <v>0</v>
      </c>
      <c r="K50" s="1">
        <f>SUM(OSRRefE21_3x_1)</f>
        <v>10</v>
      </c>
      <c r="L50" s="1">
        <f>SUM(OSRRefE21_3x_2)</f>
        <v>0</v>
      </c>
      <c r="M50" s="1">
        <f>SUM(OSRRefE21_3x_3)</f>
        <v>10</v>
      </c>
      <c r="N50" s="1">
        <f>SUM(OSRRefE21_3x_4)</f>
        <v>0</v>
      </c>
      <c r="O50" s="1">
        <f>SUM(OSRRefE21_3x_5)</f>
        <v>10</v>
      </c>
      <c r="Q50" s="2">
        <f>SUM(OSRRefD20_3x)+IFERROR(SUM(OSRRefE20_3x),0)</f>
        <v>-22.07</v>
      </c>
    </row>
    <row r="51" spans="1:17" s="35" customFormat="1" hidden="1" outlineLevel="1" x14ac:dyDescent="0.3">
      <c r="A51" s="34"/>
      <c r="B51" s="10" t="str">
        <f>CONCATENATE("          ","6272", " - ","CASH (OVER/SHORT)")</f>
        <v xml:space="preserve">          6272 - CASH (OVER/SHORT)</v>
      </c>
      <c r="C51" s="14"/>
      <c r="D51" s="2">
        <v>-19.02</v>
      </c>
      <c r="E51" s="2">
        <v>-89.52</v>
      </c>
      <c r="F51" s="2">
        <v>7.74</v>
      </c>
      <c r="G51" s="2">
        <v>-3.12</v>
      </c>
      <c r="H51" s="2">
        <v>6.25</v>
      </c>
      <c r="I51" s="2">
        <v>45.6</v>
      </c>
      <c r="J51" s="2">
        <v>0</v>
      </c>
      <c r="K51" s="2">
        <v>10</v>
      </c>
      <c r="L51" s="2">
        <v>0</v>
      </c>
      <c r="M51" s="2">
        <v>10</v>
      </c>
      <c r="N51" s="2">
        <v>0</v>
      </c>
      <c r="O51" s="2">
        <v>10</v>
      </c>
      <c r="P51" s="9"/>
      <c r="Q51" s="2">
        <f>SUM(OSRRefD21_3_0x)+IFERROR(SUM(OSRRefE21_3_0x),0)</f>
        <v>-22.07</v>
      </c>
    </row>
    <row r="52" spans="1:17" s="35" customFormat="1" collapsed="1" x14ac:dyDescent="0.3">
      <c r="A52" s="34"/>
      <c r="B52" s="14" t="str">
        <f>CONCATENATE("     ","Bank/card Fees                                    ")</f>
        <v xml:space="preserve">     Bank/card Fees                                    </v>
      </c>
      <c r="C52" s="14"/>
      <c r="D52" s="1">
        <f>SUM(OSRRefD21_4x_0)</f>
        <v>1008.71</v>
      </c>
      <c r="E52" s="1">
        <f>SUM(OSRRefD21_4x_1)</f>
        <v>2761.03</v>
      </c>
      <c r="F52" s="1">
        <f>SUM(OSRRefD21_4x_2)</f>
        <v>5813.93</v>
      </c>
      <c r="G52" s="1">
        <f>SUM(OSRRefD21_4x_3)</f>
        <v>7396.63</v>
      </c>
      <c r="H52" s="1">
        <f>SUM(OSRRefD21_4x_4)</f>
        <v>5070.1099999999997</v>
      </c>
      <c r="I52" s="1">
        <f>SUM(OSRRefD21_4x_5)</f>
        <v>4469.4399999999996</v>
      </c>
      <c r="J52" s="1">
        <f>SUM(OSRRefE21_4x_0)</f>
        <v>8832.5</v>
      </c>
      <c r="K52" s="1">
        <f>SUM(OSRRefE21_4x_1)</f>
        <v>22231</v>
      </c>
      <c r="L52" s="1">
        <f>SUM(OSRRefE21_4x_2)</f>
        <v>21087.25</v>
      </c>
      <c r="M52" s="1">
        <f>SUM(OSRRefE21_4x_3)</f>
        <v>21424.25</v>
      </c>
      <c r="N52" s="1">
        <f>SUM(OSRRefE21_4x_4)</f>
        <v>14095</v>
      </c>
      <c r="O52" s="1">
        <f>SUM(OSRRefE21_4x_5)</f>
        <v>5145.5</v>
      </c>
      <c r="Q52" s="2">
        <f>SUM(OSRRefD20_4x)+IFERROR(SUM(OSRRefE20_4x),0)</f>
        <v>119335.35</v>
      </c>
    </row>
    <row r="53" spans="1:17" s="35" customFormat="1" hidden="1" outlineLevel="1" x14ac:dyDescent="0.3">
      <c r="A53" s="34"/>
      <c r="B53" s="10" t="str">
        <f>CONCATENATE("          ","6381", " - ","BANK/CREDIT CARD FEES")</f>
        <v xml:space="preserve">          6381 - BANK/CREDIT CARD FEES</v>
      </c>
      <c r="C53" s="14"/>
      <c r="D53" s="2">
        <v>1008.71</v>
      </c>
      <c r="E53" s="2">
        <v>2761.03</v>
      </c>
      <c r="F53" s="2">
        <v>5813.93</v>
      </c>
      <c r="G53" s="2">
        <v>7396.63</v>
      </c>
      <c r="H53" s="2">
        <v>5070.1099999999997</v>
      </c>
      <c r="I53" s="2">
        <v>4469.4399999999996</v>
      </c>
      <c r="J53" s="2">
        <v>8832.5</v>
      </c>
      <c r="K53" s="2">
        <v>22231</v>
      </c>
      <c r="L53" s="2">
        <v>21087.25</v>
      </c>
      <c r="M53" s="2">
        <v>21424.25</v>
      </c>
      <c r="N53" s="2">
        <v>14095</v>
      </c>
      <c r="O53" s="2">
        <v>5145.5</v>
      </c>
      <c r="P53" s="9"/>
      <c r="Q53" s="2">
        <f>SUM(OSRRefD21_4_0x)+IFERROR(SUM(OSRRefE21_4_0x),0)</f>
        <v>119335.35</v>
      </c>
    </row>
    <row r="54" spans="1:17" s="35" customFormat="1" collapsed="1" x14ac:dyDescent="0.3">
      <c r="A54" s="34"/>
      <c r="B54" s="14" t="str">
        <f>CONCATENATE("     ","Depreciation                                      ")</f>
        <v xml:space="preserve">     Depreciation                                      </v>
      </c>
      <c r="C54" s="14"/>
      <c r="D54" s="1">
        <f>SUM(OSRRefD21_5x_0)</f>
        <v>39961.65</v>
      </c>
      <c r="E54" s="1">
        <f>SUM(OSRRefD21_5x_1)</f>
        <v>39961.65</v>
      </c>
      <c r="F54" s="1">
        <f>SUM(OSRRefD21_5x_2)</f>
        <v>39917.57</v>
      </c>
      <c r="G54" s="1">
        <f>SUM(OSRRefD21_5x_3)</f>
        <v>39106.79</v>
      </c>
      <c r="H54" s="1">
        <f>SUM(OSRRefD21_5x_4)</f>
        <v>39106.79</v>
      </c>
      <c r="I54" s="1">
        <f>SUM(OSRRefD21_5x_5)</f>
        <v>39106.79</v>
      </c>
      <c r="J54" s="1">
        <f>SUM(OSRRefE21_5x_0)</f>
        <v>39107</v>
      </c>
      <c r="K54" s="1">
        <f>SUM(OSRRefE21_5x_1)</f>
        <v>39107</v>
      </c>
      <c r="L54" s="1">
        <f>SUM(OSRRefE21_5x_2)</f>
        <v>38532</v>
      </c>
      <c r="M54" s="1">
        <f>SUM(OSRRefE21_5x_3)</f>
        <v>38532</v>
      </c>
      <c r="N54" s="1">
        <f>SUM(OSRRefE21_5x_4)</f>
        <v>38532</v>
      </c>
      <c r="O54" s="1">
        <f>SUM(OSRRefE21_5x_5)</f>
        <v>38374</v>
      </c>
      <c r="Q54" s="2">
        <f>SUM(OSRRefD20_5x)+IFERROR(SUM(OSRRefE20_5x),0)</f>
        <v>469345.24</v>
      </c>
    </row>
    <row r="55" spans="1:17" s="35" customFormat="1" hidden="1" outlineLevel="1" x14ac:dyDescent="0.3">
      <c r="A55" s="34"/>
      <c r="B55" s="10" t="str">
        <f>CONCATENATE("          ","6321", " - ","BUILDING DEPRECIATION")</f>
        <v xml:space="preserve">          6321 - BUILDING DEPRECIATION</v>
      </c>
      <c r="C55" s="14"/>
      <c r="D55" s="2">
        <v>28663.98</v>
      </c>
      <c r="E55" s="2">
        <v>28663.98</v>
      </c>
      <c r="F55" s="2">
        <v>28619.91</v>
      </c>
      <c r="G55" s="2">
        <v>28619.91</v>
      </c>
      <c r="H55" s="2">
        <v>28619.91</v>
      </c>
      <c r="I55" s="2">
        <v>28619.91</v>
      </c>
      <c r="J55" s="2"/>
      <c r="K55" s="2"/>
      <c r="L55" s="2"/>
      <c r="M55" s="2"/>
      <c r="N55" s="2"/>
      <c r="O55" s="2"/>
      <c r="P55" s="9"/>
      <c r="Q55" s="2">
        <f>SUM(OSRRefD21_5_0x)+IFERROR(SUM(OSRRefE21_5_0x),0)</f>
        <v>171807.6</v>
      </c>
    </row>
    <row r="56" spans="1:17" s="35" customFormat="1" hidden="1" outlineLevel="1" x14ac:dyDescent="0.3">
      <c r="A56" s="34"/>
      <c r="B56" s="10" t="str">
        <f>CONCATENATE("          ","6322", " - ","EQUIPMENT DEPRECIATION EXPENSE")</f>
        <v xml:space="preserve">          6322 - EQUIPMENT DEPRECIATION EXPENSE</v>
      </c>
      <c r="C56" s="14"/>
      <c r="D56" s="2">
        <v>11297.67</v>
      </c>
      <c r="E56" s="2">
        <v>11297.67</v>
      </c>
      <c r="F56" s="2">
        <v>11297.66</v>
      </c>
      <c r="G56" s="2">
        <v>10486.88</v>
      </c>
      <c r="H56" s="2">
        <v>10486.88</v>
      </c>
      <c r="I56" s="2">
        <v>10486.88</v>
      </c>
      <c r="J56" s="2">
        <v>39107</v>
      </c>
      <c r="K56" s="2">
        <v>39107</v>
      </c>
      <c r="L56" s="2">
        <v>38532</v>
      </c>
      <c r="M56" s="2">
        <v>38532</v>
      </c>
      <c r="N56" s="2">
        <v>38532</v>
      </c>
      <c r="O56" s="2">
        <v>38374</v>
      </c>
      <c r="P56" s="9"/>
      <c r="Q56" s="2">
        <f>SUM(OSRRefD21_5_1x)+IFERROR(SUM(OSRRefE21_5_1x),0)</f>
        <v>297537.64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SUM(OSRRefD21_6x_0)</f>
        <v>0</v>
      </c>
      <c r="E57" s="1">
        <f>SUM(OSRRefD21_6x_1)</f>
        <v>18</v>
      </c>
      <c r="F57" s="1">
        <f>SUM(OSRRefD21_6x_2)</f>
        <v>0</v>
      </c>
      <c r="G57" s="1">
        <f>SUM(OSRRefD21_6x_3)</f>
        <v>123.17</v>
      </c>
      <c r="H57" s="1">
        <f>SUM(OSRRefD21_6x_4)</f>
        <v>0</v>
      </c>
      <c r="I57" s="1">
        <f>SUM(OSRRefD21_6x_5)</f>
        <v>173.7</v>
      </c>
      <c r="J57" s="1">
        <f>SUM(OSRRefE21_6x_0)</f>
        <v>20</v>
      </c>
      <c r="K57" s="1">
        <f>SUM(OSRRefE21_6x_1)</f>
        <v>0</v>
      </c>
      <c r="L57" s="1">
        <f>SUM(OSRRefE21_6x_2)</f>
        <v>40</v>
      </c>
      <c r="M57" s="1">
        <f>SUM(OSRRefE21_6x_3)</f>
        <v>20</v>
      </c>
      <c r="N57" s="1">
        <f>SUM(OSRRefE21_6x_4)</f>
        <v>140</v>
      </c>
      <c r="O57" s="1">
        <f>SUM(OSRRefE21_6x_5)</f>
        <v>0</v>
      </c>
      <c r="Q57" s="2">
        <f>SUM(OSRRefD20_6x)+IFERROR(SUM(OSRRefE20_6x),0)</f>
        <v>534.87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>
        <v>18</v>
      </c>
      <c r="F58" s="2"/>
      <c r="G58" s="2">
        <v>123.17</v>
      </c>
      <c r="H58" s="2"/>
      <c r="I58" s="2">
        <v>173.7</v>
      </c>
      <c r="J58" s="2">
        <v>20</v>
      </c>
      <c r="K58" s="2"/>
      <c r="L58" s="2">
        <v>40</v>
      </c>
      <c r="M58" s="2">
        <v>20</v>
      </c>
      <c r="N58" s="2">
        <v>140</v>
      </c>
      <c r="O58" s="2"/>
      <c r="P58" s="9"/>
      <c r="Q58" s="2">
        <f>SUM(OSRRefD21_6_0x)+IFERROR(SUM(OSRRefE21_6_0x),0)</f>
        <v>534.87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SUM(OSRRefD21_7x_0)</f>
        <v>467.93</v>
      </c>
      <c r="E59" s="1">
        <f>SUM(OSRRefD21_7x_1)</f>
        <v>1239.52</v>
      </c>
      <c r="F59" s="1">
        <f>SUM(OSRRefD21_7x_2)</f>
        <v>91.26</v>
      </c>
      <c r="G59" s="1">
        <f>SUM(OSRRefD21_7x_3)</f>
        <v>1125.7</v>
      </c>
      <c r="H59" s="1">
        <f>SUM(OSRRefD21_7x_4)</f>
        <v>726.98</v>
      </c>
      <c r="I59" s="1">
        <f>SUM(OSRRefD21_7x_5)</f>
        <v>1746.76</v>
      </c>
      <c r="J59" s="1">
        <f>SUM(OSRRefE21_7x_0)</f>
        <v>951</v>
      </c>
      <c r="K59" s="1">
        <f>SUM(OSRRefE21_7x_1)</f>
        <v>951</v>
      </c>
      <c r="L59" s="1">
        <f>SUM(OSRRefE21_7x_2)</f>
        <v>951</v>
      </c>
      <c r="M59" s="1">
        <f>SUM(OSRRefE21_7x_3)</f>
        <v>951</v>
      </c>
      <c r="N59" s="1">
        <f>SUM(OSRRefE21_7x_4)</f>
        <v>951</v>
      </c>
      <c r="O59" s="1">
        <f>SUM(OSRRefE21_7x_5)</f>
        <v>951</v>
      </c>
      <c r="Q59" s="2">
        <f>SUM(OSRRefD20_7x)+IFERROR(SUM(OSRRefE20_7x),0)</f>
        <v>11104.15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467.93</v>
      </c>
      <c r="E60" s="2">
        <v>1239.52</v>
      </c>
      <c r="F60" s="2">
        <v>91.26</v>
      </c>
      <c r="G60" s="2">
        <v>1125.7</v>
      </c>
      <c r="H60" s="2">
        <v>726.98</v>
      </c>
      <c r="I60" s="2">
        <v>1746.76</v>
      </c>
      <c r="J60" s="2">
        <v>951</v>
      </c>
      <c r="K60" s="2">
        <v>951</v>
      </c>
      <c r="L60" s="2">
        <v>951</v>
      </c>
      <c r="M60" s="2">
        <v>951</v>
      </c>
      <c r="N60" s="2">
        <v>951</v>
      </c>
      <c r="O60" s="2">
        <v>951</v>
      </c>
      <c r="P60" s="9"/>
      <c r="Q60" s="2">
        <f>SUM(OSRRefD21_7_0x)+IFERROR(SUM(OSRRefE21_7_0x),0)</f>
        <v>11104.15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SUM(OSRRefD21_8x_0)</f>
        <v>165.28</v>
      </c>
      <c r="E61" s="1">
        <f>SUM(OSRRefD21_8x_1)</f>
        <v>13768.93</v>
      </c>
      <c r="F61" s="1">
        <f>SUM(OSRRefD21_8x_2)</f>
        <v>0</v>
      </c>
      <c r="G61" s="1">
        <f>SUM(OSRRefD21_8x_3)</f>
        <v>1768.05</v>
      </c>
      <c r="H61" s="1">
        <f>SUM(OSRRefD21_8x_4)</f>
        <v>547.19000000000005</v>
      </c>
      <c r="I61" s="1">
        <f>SUM(OSRRefD21_8x_5)</f>
        <v>1142.19</v>
      </c>
      <c r="J61" s="1">
        <f>SUM(OSRRefE21_8x_0)</f>
        <v>250</v>
      </c>
      <c r="K61" s="1">
        <f>SUM(OSRRefE21_8x_1)</f>
        <v>0</v>
      </c>
      <c r="L61" s="1">
        <f>SUM(OSRRefE21_8x_2)</f>
        <v>250</v>
      </c>
      <c r="M61" s="1">
        <f>SUM(OSRRefE21_8x_3)</f>
        <v>0</v>
      </c>
      <c r="N61" s="1">
        <f>SUM(OSRRefE21_8x_4)</f>
        <v>0</v>
      </c>
      <c r="O61" s="1">
        <f>SUM(OSRRefE21_8x_5)</f>
        <v>0</v>
      </c>
      <c r="Q61" s="2">
        <f>SUM(OSRRefD20_8x)+IFERROR(SUM(OSRRefE20_8x),0)</f>
        <v>17891.64</v>
      </c>
    </row>
    <row r="62" spans="1:17" s="35" customFormat="1" hidden="1" outlineLevel="1" x14ac:dyDescent="0.3">
      <c r="A62" s="34"/>
      <c r="B62" s="10" t="str">
        <f>CONCATENATE("          ","6269", " - ","ENTERTAINMENT")</f>
        <v xml:space="preserve">          6269 - ENTERTAINMENT</v>
      </c>
      <c r="C62" s="14"/>
      <c r="D62" s="2"/>
      <c r="E62" s="2"/>
      <c r="F62" s="2"/>
      <c r="G62" s="2"/>
      <c r="H62" s="2"/>
      <c r="I62" s="2"/>
      <c r="J62" s="2">
        <v>250</v>
      </c>
      <c r="K62" s="2"/>
      <c r="L62" s="2">
        <v>250</v>
      </c>
      <c r="M62" s="2"/>
      <c r="N62" s="2"/>
      <c r="O62" s="2"/>
      <c r="P62" s="9"/>
      <c r="Q62" s="2">
        <f>SUM(OSRRefD21_8_0x)+IFERROR(SUM(OSRRefE21_8_0x),0)</f>
        <v>500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>
        <v>165.28</v>
      </c>
      <c r="E63" s="2">
        <v>13768.93</v>
      </c>
      <c r="F63" s="2"/>
      <c r="G63" s="2">
        <v>1768.05</v>
      </c>
      <c r="H63" s="2">
        <v>547.19000000000005</v>
      </c>
      <c r="I63" s="2">
        <v>1142.19</v>
      </c>
      <c r="J63" s="2"/>
      <c r="K63" s="2"/>
      <c r="L63" s="2"/>
      <c r="M63" s="2"/>
      <c r="N63" s="2"/>
      <c r="O63" s="2"/>
      <c r="P63" s="9"/>
      <c r="Q63" s="2">
        <f>SUM(OSRRefD21_8_1x)+IFERROR(SUM(OSRRefE21_8_1x),0)</f>
        <v>17391.64</v>
      </c>
    </row>
    <row r="64" spans="1:17" s="35" customFormat="1" collapsed="1" x14ac:dyDescent="0.3">
      <c r="A64" s="34"/>
      <c r="B64" s="14" t="str">
        <f>CONCATENATE("     ","Insurance                                         ")</f>
        <v xml:space="preserve">     Insurance                                         </v>
      </c>
      <c r="C64" s="14"/>
      <c r="D64" s="1">
        <f>SUM(OSRRefD21_9x_0)</f>
        <v>6087.22</v>
      </c>
      <c r="E64" s="1">
        <f>SUM(OSRRefD21_9x_1)</f>
        <v>6087.22</v>
      </c>
      <c r="F64" s="1">
        <f>SUM(OSRRefD21_9x_2)</f>
        <v>6087.22</v>
      </c>
      <c r="G64" s="1">
        <f>SUM(OSRRefD21_9x_3)</f>
        <v>12970.22</v>
      </c>
      <c r="H64" s="1">
        <f>SUM(OSRRefD21_9x_4)</f>
        <v>6087.22</v>
      </c>
      <c r="I64" s="1">
        <f>SUM(OSRRefD21_9x_5)</f>
        <v>6087.22</v>
      </c>
      <c r="J64" s="1">
        <f>SUM(OSRRefE21_9x_0)</f>
        <v>6000</v>
      </c>
      <c r="K64" s="1">
        <f>SUM(OSRRefE21_9x_1)</f>
        <v>6000</v>
      </c>
      <c r="L64" s="1">
        <f>SUM(OSRRefE21_9x_2)</f>
        <v>6000</v>
      </c>
      <c r="M64" s="1">
        <f>SUM(OSRRefE21_9x_3)</f>
        <v>6000</v>
      </c>
      <c r="N64" s="1">
        <f>SUM(OSRRefE21_9x_4)</f>
        <v>6000</v>
      </c>
      <c r="O64" s="1">
        <f>SUM(OSRRefE21_9x_5)</f>
        <v>6000</v>
      </c>
      <c r="Q64" s="2">
        <f>SUM(OSRRefD20_9x)+IFERROR(SUM(OSRRefE20_9x),0)</f>
        <v>79406.320000000007</v>
      </c>
    </row>
    <row r="65" spans="1:17" s="35" customFormat="1" hidden="1" outlineLevel="1" x14ac:dyDescent="0.3">
      <c r="A65" s="34"/>
      <c r="B65" s="10" t="str">
        <f>CONCATENATE("          ","6314", " - ","LIABILITY INSURANCE")</f>
        <v xml:space="preserve">          6314 - LIABILITY INSURANCE</v>
      </c>
      <c r="C65" s="14"/>
      <c r="D65" s="2">
        <v>6087.22</v>
      </c>
      <c r="E65" s="2">
        <v>6087.22</v>
      </c>
      <c r="F65" s="2">
        <v>6087.22</v>
      </c>
      <c r="G65" s="2">
        <v>12970.22</v>
      </c>
      <c r="H65" s="2">
        <v>6087.22</v>
      </c>
      <c r="I65" s="2">
        <v>6087.22</v>
      </c>
      <c r="J65" s="2">
        <v>6000</v>
      </c>
      <c r="K65" s="2">
        <v>6000</v>
      </c>
      <c r="L65" s="2">
        <v>6000</v>
      </c>
      <c r="M65" s="2">
        <v>6000</v>
      </c>
      <c r="N65" s="2">
        <v>6000</v>
      </c>
      <c r="O65" s="2">
        <v>6000</v>
      </c>
      <c r="P65" s="9"/>
      <c r="Q65" s="2">
        <f>SUM(OSRRefD21_9_0x)+IFERROR(SUM(OSRRefE21_9_0x),0)</f>
        <v>79406.320000000007</v>
      </c>
    </row>
    <row r="66" spans="1:17" s="35" customFormat="1" collapsed="1" x14ac:dyDescent="0.3">
      <c r="A66" s="34"/>
      <c r="B66" s="14" t="str">
        <f>CONCATENATE("     ","Interest                                          ")</f>
        <v xml:space="preserve">     Interest                                          </v>
      </c>
      <c r="C66" s="14"/>
      <c r="D66" s="1">
        <f>SUM(OSRRefD21_10x_0)</f>
        <v>11158</v>
      </c>
      <c r="E66" s="1">
        <f>SUM(OSRRefD21_10x_1)</f>
        <v>11158</v>
      </c>
      <c r="F66" s="1">
        <f>SUM(OSRRefD21_10x_2)</f>
        <v>11158</v>
      </c>
      <c r="G66" s="1">
        <f>SUM(OSRRefD21_10x_3)</f>
        <v>10368</v>
      </c>
      <c r="H66" s="1">
        <f>SUM(OSRRefD21_10x_4)</f>
        <v>11158</v>
      </c>
      <c r="I66" s="1">
        <f>SUM(OSRRefD21_10x_5)</f>
        <v>11158</v>
      </c>
      <c r="J66" s="1">
        <f>SUM(OSRRefE21_10x_0)</f>
        <v>11158</v>
      </c>
      <c r="K66" s="1">
        <f>SUM(OSRRefE21_10x_1)</f>
        <v>11158</v>
      </c>
      <c r="L66" s="1">
        <f>SUM(OSRRefE21_10x_2)</f>
        <v>11158</v>
      </c>
      <c r="M66" s="1">
        <f>SUM(OSRRefE21_10x_3)</f>
        <v>11158</v>
      </c>
      <c r="N66" s="1">
        <f>SUM(OSRRefE21_10x_4)</f>
        <v>10742</v>
      </c>
      <c r="O66" s="1">
        <f>SUM(OSRRefE21_10x_5)</f>
        <v>10742</v>
      </c>
      <c r="Q66" s="2">
        <f>SUM(OSRRefD20_10x)+IFERROR(SUM(OSRRefE20_10x),0)</f>
        <v>132274</v>
      </c>
    </row>
    <row r="67" spans="1:17" s="35" customFormat="1" hidden="1" outlineLevel="1" x14ac:dyDescent="0.3">
      <c r="A67" s="34"/>
      <c r="B67" s="10" t="str">
        <f>CONCATENATE("          ","6401", " - ","INTEREST EXPENSE")</f>
        <v xml:space="preserve">          6401 - INTEREST EXPENSE</v>
      </c>
      <c r="C67" s="14"/>
      <c r="D67" s="2">
        <v>11158</v>
      </c>
      <c r="E67" s="2">
        <v>11158</v>
      </c>
      <c r="F67" s="2">
        <v>11158</v>
      </c>
      <c r="G67" s="2">
        <v>10368</v>
      </c>
      <c r="H67" s="2">
        <v>11158</v>
      </c>
      <c r="I67" s="2">
        <v>11158</v>
      </c>
      <c r="J67" s="2">
        <v>11158</v>
      </c>
      <c r="K67" s="2">
        <v>11158</v>
      </c>
      <c r="L67" s="2">
        <v>11158</v>
      </c>
      <c r="M67" s="2">
        <v>11158</v>
      </c>
      <c r="N67" s="2">
        <v>10742</v>
      </c>
      <c r="O67" s="2">
        <v>10742</v>
      </c>
      <c r="P67" s="9"/>
      <c r="Q67" s="2">
        <f>SUM(OSRRefD21_10_0x)+IFERROR(SUM(OSRRefE21_10_0x),0)</f>
        <v>132274</v>
      </c>
    </row>
    <row r="68" spans="1:17" s="35" customFormat="1" collapsed="1" x14ac:dyDescent="0.3">
      <c r="A68" s="34"/>
      <c r="B68" s="14" t="str">
        <f>CONCATENATE("     ","Rent                                              ")</f>
        <v xml:space="preserve">     Rent                                              </v>
      </c>
      <c r="C68" s="14"/>
      <c r="D68" s="1">
        <f>SUM(OSRRefD21_11x_0)</f>
        <v>1850</v>
      </c>
      <c r="E68" s="1">
        <f>SUM(OSRRefD21_11x_1)</f>
        <v>1850</v>
      </c>
      <c r="F68" s="1">
        <f>SUM(OSRRefD21_11x_2)</f>
        <v>1850</v>
      </c>
      <c r="G68" s="1">
        <f>SUM(OSRRefD21_11x_3)</f>
        <v>1850</v>
      </c>
      <c r="H68" s="1">
        <f>SUM(OSRRefD21_11x_4)</f>
        <v>1850</v>
      </c>
      <c r="I68" s="1">
        <f>SUM(OSRRefD21_11x_5)</f>
        <v>1850</v>
      </c>
      <c r="J68" s="1">
        <f>SUM(OSRRefE21_11x_0)</f>
        <v>1850</v>
      </c>
      <c r="K68" s="1">
        <f>SUM(OSRRefE21_11x_1)</f>
        <v>1850</v>
      </c>
      <c r="L68" s="1">
        <f>SUM(OSRRefE21_11x_2)</f>
        <v>1850</v>
      </c>
      <c r="M68" s="1">
        <f>SUM(OSRRefE21_11x_3)</f>
        <v>1850</v>
      </c>
      <c r="N68" s="1">
        <f>SUM(OSRRefE21_11x_4)</f>
        <v>1850</v>
      </c>
      <c r="O68" s="1">
        <f>SUM(OSRRefE21_11x_5)</f>
        <v>1850</v>
      </c>
      <c r="Q68" s="2">
        <f>SUM(OSRRefD20_11x)+IFERROR(SUM(OSRRefE20_11x),0)</f>
        <v>22200</v>
      </c>
    </row>
    <row r="69" spans="1:17" s="35" customFormat="1" hidden="1" outlineLevel="1" x14ac:dyDescent="0.3">
      <c r="A69" s="34"/>
      <c r="B69" s="10" t="str">
        <f>CONCATENATE("          ","6273", " - ","RENT")</f>
        <v xml:space="preserve">          6273 - RENT</v>
      </c>
      <c r="C69" s="14"/>
      <c r="D69" s="2">
        <v>1850</v>
      </c>
      <c r="E69" s="2">
        <v>1850</v>
      </c>
      <c r="F69" s="2">
        <v>1850</v>
      </c>
      <c r="G69" s="2">
        <v>1850</v>
      </c>
      <c r="H69" s="2">
        <v>1850</v>
      </c>
      <c r="I69" s="2">
        <v>1850</v>
      </c>
      <c r="J69" s="2">
        <v>1850</v>
      </c>
      <c r="K69" s="2">
        <v>1850</v>
      </c>
      <c r="L69" s="2">
        <v>1850</v>
      </c>
      <c r="M69" s="2">
        <v>1850</v>
      </c>
      <c r="N69" s="2">
        <v>1850</v>
      </c>
      <c r="O69" s="2">
        <v>1850</v>
      </c>
      <c r="P69" s="9"/>
      <c r="Q69" s="2">
        <f>SUM(OSRRefD21_11_0x)+IFERROR(SUM(OSRRefE21_11_0x),0)</f>
        <v>22200</v>
      </c>
    </row>
    <row r="70" spans="1:17" s="35" customFormat="1" collapsed="1" x14ac:dyDescent="0.3">
      <c r="A70" s="34"/>
      <c r="B70" s="14" t="str">
        <f>CONCATENATE("     ","Repair and Maintenance                            ")</f>
        <v xml:space="preserve">     Repair and Maintenance                            </v>
      </c>
      <c r="C70" s="14"/>
      <c r="D70" s="1">
        <f>SUM(OSRRefD21_12x_0)</f>
        <v>3131.71</v>
      </c>
      <c r="E70" s="1">
        <f>SUM(OSRRefD21_12x_1)</f>
        <v>24416.530000000002</v>
      </c>
      <c r="F70" s="1">
        <f>SUM(OSRRefD21_12x_2)</f>
        <v>3481.81</v>
      </c>
      <c r="G70" s="1">
        <f>SUM(OSRRefD21_12x_3)</f>
        <v>7846.24</v>
      </c>
      <c r="H70" s="1">
        <f>SUM(OSRRefD21_12x_4)</f>
        <v>5673.9500000000007</v>
      </c>
      <c r="I70" s="1">
        <f>SUM(OSRRefD21_12x_5)</f>
        <v>11316.02</v>
      </c>
      <c r="J70" s="1">
        <f>SUM(OSRRefE21_12x_0)</f>
        <v>11531</v>
      </c>
      <c r="K70" s="1">
        <f>SUM(OSRRefE21_12x_1)</f>
        <v>3744</v>
      </c>
      <c r="L70" s="1">
        <f>SUM(OSRRefE21_12x_2)</f>
        <v>3803</v>
      </c>
      <c r="M70" s="1">
        <f>SUM(OSRRefE21_12x_3)</f>
        <v>5544</v>
      </c>
      <c r="N70" s="1">
        <f>SUM(OSRRefE21_12x_4)</f>
        <v>2894</v>
      </c>
      <c r="O70" s="1">
        <f>SUM(OSRRefE21_12x_5)</f>
        <v>1870</v>
      </c>
      <c r="Q70" s="2">
        <f>SUM(OSRRefD20_12x)+IFERROR(SUM(OSRRefE20_12x),0)</f>
        <v>85252.260000000009</v>
      </c>
    </row>
    <row r="71" spans="1:17" s="35" customFormat="1" hidden="1" outlineLevel="1" x14ac:dyDescent="0.3">
      <c r="A71" s="34"/>
      <c r="B71" s="10" t="str">
        <f>CONCATENATE("          ","6371", " - ","COMPUTER SOFTWARE MAINTENANCE")</f>
        <v xml:space="preserve">          6371 - COMPUTER SOFTWARE MAINTENANCE</v>
      </c>
      <c r="C71" s="14"/>
      <c r="D71" s="2"/>
      <c r="E71" s="2">
        <v>5177.72</v>
      </c>
      <c r="F71" s="2"/>
      <c r="G71" s="2">
        <v>159.68</v>
      </c>
      <c r="H71" s="2">
        <v>380.32</v>
      </c>
      <c r="I71" s="2">
        <v>618.36</v>
      </c>
      <c r="J71" s="2"/>
      <c r="K71" s="2"/>
      <c r="L71" s="2"/>
      <c r="M71" s="2"/>
      <c r="N71" s="2"/>
      <c r="O71" s="2"/>
      <c r="P71" s="9"/>
      <c r="Q71" s="2">
        <f>SUM(OSRRefD21_12_0x)+IFERROR(SUM(OSRRefE21_12_0x),0)</f>
        <v>6336.08</v>
      </c>
    </row>
    <row r="72" spans="1:17" s="35" customFormat="1" hidden="1" outlineLevel="1" x14ac:dyDescent="0.3">
      <c r="A72" s="34"/>
      <c r="B72" s="10" t="str">
        <f>CONCATENATE("          ","6372", " - ","COMPUTER HARDWARE MAINTENANCE")</f>
        <v xml:space="preserve">          6372 - COMPUTER HARDWARE MAINTENANCE</v>
      </c>
      <c r="C72" s="14"/>
      <c r="D72" s="2"/>
      <c r="E72" s="2"/>
      <c r="F72" s="2"/>
      <c r="G72" s="2"/>
      <c r="H72" s="2"/>
      <c r="I72" s="2"/>
      <c r="J72" s="2">
        <v>8000</v>
      </c>
      <c r="K72" s="2"/>
      <c r="L72" s="2"/>
      <c r="M72" s="2"/>
      <c r="N72" s="2"/>
      <c r="O72" s="2"/>
      <c r="P72" s="9"/>
      <c r="Q72" s="2">
        <f>SUM(OSRRefD21_12_1x)+IFERROR(SUM(OSRRefE21_12_1x),0)</f>
        <v>8000</v>
      </c>
    </row>
    <row r="73" spans="1:17" s="35" customFormat="1" hidden="1" outlineLevel="1" x14ac:dyDescent="0.3">
      <c r="A73" s="34"/>
      <c r="B73" s="10" t="str">
        <f>CONCATENATE("          ","6373", " - ","MAINTENANCE CONTRACTS")</f>
        <v xml:space="preserve">          6373 - MAINTENANCE CONTRACTS</v>
      </c>
      <c r="C73" s="14"/>
      <c r="D73" s="2">
        <v>0.87</v>
      </c>
      <c r="E73" s="2"/>
      <c r="F73" s="2">
        <v>1161.3499999999999</v>
      </c>
      <c r="G73" s="2">
        <v>2854.56</v>
      </c>
      <c r="H73" s="2">
        <v>2846.3</v>
      </c>
      <c r="I73" s="2">
        <v>5060.55</v>
      </c>
      <c r="J73" s="2">
        <v>1180</v>
      </c>
      <c r="K73" s="2"/>
      <c r="L73" s="2">
        <v>138</v>
      </c>
      <c r="M73" s="2">
        <v>1180</v>
      </c>
      <c r="N73" s="2"/>
      <c r="O73" s="2"/>
      <c r="P73" s="9"/>
      <c r="Q73" s="2">
        <f>SUM(OSRRefD21_12_2x)+IFERROR(SUM(OSRRefE21_12_2x),0)</f>
        <v>14421.630000000001</v>
      </c>
    </row>
    <row r="74" spans="1:17" s="35" customFormat="1" hidden="1" outlineLevel="1" x14ac:dyDescent="0.3">
      <c r="A74" s="34"/>
      <c r="B74" s="10" t="str">
        <f>CONCATENATE("          ","6375", " - ","OUTSIDE REPAIRS &amp; MAINTENANCE")</f>
        <v xml:space="preserve">          6375 - OUTSIDE REPAIRS &amp; MAINTENANCE</v>
      </c>
      <c r="C74" s="14"/>
      <c r="D74" s="2">
        <v>3130.84</v>
      </c>
      <c r="E74" s="2">
        <v>19238.810000000001</v>
      </c>
      <c r="F74" s="2">
        <v>2320.46</v>
      </c>
      <c r="G74" s="2">
        <v>4832</v>
      </c>
      <c r="H74" s="2">
        <v>2447.33</v>
      </c>
      <c r="I74" s="2">
        <v>5637.11</v>
      </c>
      <c r="J74" s="2">
        <v>2351</v>
      </c>
      <c r="K74" s="2">
        <v>3744</v>
      </c>
      <c r="L74" s="2">
        <v>3665</v>
      </c>
      <c r="M74" s="2">
        <v>4364</v>
      </c>
      <c r="N74" s="2">
        <v>2894</v>
      </c>
      <c r="O74" s="2">
        <v>1870</v>
      </c>
      <c r="P74" s="9"/>
      <c r="Q74" s="2">
        <f>SUM(OSRRefD21_12_3x)+IFERROR(SUM(OSRRefE21_12_3x),0)</f>
        <v>56494.55</v>
      </c>
    </row>
    <row r="75" spans="1:17" s="35" customFormat="1" collapsed="1" x14ac:dyDescent="0.3">
      <c r="A75" s="34"/>
      <c r="B75" s="14" t="str">
        <f>CONCATENATE("     ","Royalty &amp; Commissions                             ")</f>
        <v xml:space="preserve">     Royalty &amp; Commissions                             </v>
      </c>
      <c r="C75" s="14"/>
      <c r="D75" s="1">
        <f>SUM(OSRRefD21_13x_0)</f>
        <v>0</v>
      </c>
      <c r="E75" s="1">
        <f>SUM(OSRRefD21_13x_1)</f>
        <v>0</v>
      </c>
      <c r="F75" s="1">
        <f>SUM(OSRRefD21_13x_2)</f>
        <v>0</v>
      </c>
      <c r="G75" s="1">
        <f>SUM(OSRRefD21_13x_3)</f>
        <v>1066.22</v>
      </c>
      <c r="H75" s="1">
        <f>SUM(OSRRefD21_13x_4)</f>
        <v>366.22</v>
      </c>
      <c r="I75" s="1">
        <f>SUM(OSRRefD21_13x_5)</f>
        <v>412.47</v>
      </c>
      <c r="J75" s="1">
        <f>SUM(OSRRefE21_13x_0)</f>
        <v>949</v>
      </c>
      <c r="K75" s="1">
        <f>SUM(OSRRefE21_13x_1)</f>
        <v>2644</v>
      </c>
      <c r="L75" s="1">
        <f>SUM(OSRRefE21_13x_2)</f>
        <v>2496</v>
      </c>
      <c r="M75" s="1">
        <f>SUM(OSRRefE21_13x_3)</f>
        <v>2234</v>
      </c>
      <c r="N75" s="1">
        <f>SUM(OSRRefE21_13x_4)</f>
        <v>1239</v>
      </c>
      <c r="O75" s="1">
        <f>SUM(OSRRefE21_13x_5)</f>
        <v>336</v>
      </c>
      <c r="Q75" s="2">
        <f>SUM(OSRRefD20_13x)+IFERROR(SUM(OSRRefE20_13x),0)</f>
        <v>11742.91</v>
      </c>
    </row>
    <row r="76" spans="1:17" s="35" customFormat="1" hidden="1" outlineLevel="1" x14ac:dyDescent="0.3">
      <c r="A76" s="34"/>
      <c r="B76" s="10" t="str">
        <f>CONCATENATE("          ","6254", " - ","ROYALTY &amp; COMMISSIONS")</f>
        <v xml:space="preserve">          6254 - ROYALTY &amp; COMMISSIONS</v>
      </c>
      <c r="C76" s="14"/>
      <c r="D76" s="2"/>
      <c r="E76" s="2"/>
      <c r="F76" s="2"/>
      <c r="G76" s="2">
        <v>1066.22</v>
      </c>
      <c r="H76" s="2">
        <v>366.22</v>
      </c>
      <c r="I76" s="2">
        <v>412.47</v>
      </c>
      <c r="J76" s="2"/>
      <c r="K76" s="2"/>
      <c r="L76" s="2"/>
      <c r="M76" s="2"/>
      <c r="N76" s="2"/>
      <c r="O76" s="2"/>
      <c r="P76" s="9"/>
      <c r="Q76" s="2">
        <f>SUM(OSRRefD21_13_0x)+IFERROR(SUM(OSRRefE21_13_0x),0)</f>
        <v>1844.91</v>
      </c>
    </row>
    <row r="77" spans="1:17" s="35" customFormat="1" hidden="1" outlineLevel="1" x14ac:dyDescent="0.3">
      <c r="A77" s="34"/>
      <c r="B77" s="10" t="str">
        <f>CONCATENATE("          ","6259", " - ","ROYALTY &amp; COMMISSIONS")</f>
        <v xml:space="preserve">          6259 - ROYALTY &amp; COMMISSIONS</v>
      </c>
      <c r="C77" s="14"/>
      <c r="D77" s="2"/>
      <c r="E77" s="2"/>
      <c r="F77" s="2"/>
      <c r="G77" s="2"/>
      <c r="H77" s="2"/>
      <c r="I77" s="2"/>
      <c r="J77" s="2">
        <v>949</v>
      </c>
      <c r="K77" s="2">
        <v>2644</v>
      </c>
      <c r="L77" s="2">
        <v>2496</v>
      </c>
      <c r="M77" s="2">
        <v>2234</v>
      </c>
      <c r="N77" s="2">
        <v>1239</v>
      </c>
      <c r="O77" s="2">
        <v>336</v>
      </c>
      <c r="P77" s="9"/>
      <c r="Q77" s="2">
        <f>SUM(OSRRefD21_13_1x)+IFERROR(SUM(OSRRefE21_13_1x),0)</f>
        <v>9898</v>
      </c>
    </row>
    <row r="78" spans="1:17" s="35" customFormat="1" collapsed="1" x14ac:dyDescent="0.3">
      <c r="A78" s="34"/>
      <c r="B78" s="14" t="str">
        <f>CONCATENATE("     ","Services                                          ")</f>
        <v xml:space="preserve">     Services                                          </v>
      </c>
      <c r="C78" s="14"/>
      <c r="D78" s="1">
        <f>SUM(OSRRefD21_14x_0)</f>
        <v>4741.08</v>
      </c>
      <c r="E78" s="1">
        <f>SUM(OSRRefD21_14x_1)</f>
        <v>23789.660000000003</v>
      </c>
      <c r="F78" s="1">
        <f>SUM(OSRRefD21_14x_2)</f>
        <v>8819.6799999999985</v>
      </c>
      <c r="G78" s="1">
        <f>SUM(OSRRefD21_14x_3)</f>
        <v>6609.9</v>
      </c>
      <c r="H78" s="1">
        <f>SUM(OSRRefD21_14x_4)</f>
        <v>5133.12</v>
      </c>
      <c r="I78" s="1">
        <f>SUM(OSRRefD21_14x_5)</f>
        <v>2626.56</v>
      </c>
      <c r="J78" s="1">
        <f>SUM(OSRRefE21_14x_0)</f>
        <v>11429</v>
      </c>
      <c r="K78" s="1">
        <f>SUM(OSRRefE21_14x_1)</f>
        <v>11297</v>
      </c>
      <c r="L78" s="1">
        <f>SUM(OSRRefE21_14x_2)</f>
        <v>11297</v>
      </c>
      <c r="M78" s="1">
        <f>SUM(OSRRefE21_14x_3)</f>
        <v>12294</v>
      </c>
      <c r="N78" s="1">
        <f>SUM(OSRRefE21_14x_4)</f>
        <v>11297</v>
      </c>
      <c r="O78" s="1">
        <f>SUM(OSRRefE21_14x_5)</f>
        <v>11384</v>
      </c>
      <c r="Q78" s="2">
        <f>SUM(OSRRefD20_14x)+IFERROR(SUM(OSRRefE20_14x),0)</f>
        <v>120718</v>
      </c>
    </row>
    <row r="79" spans="1:17" s="35" customFormat="1" hidden="1" outlineLevel="1" x14ac:dyDescent="0.3">
      <c r="A79" s="34"/>
      <c r="B79" s="10" t="str">
        <f>CONCATENATE("          ","6282", " - ","JANITORIAL/EXTERMINATOR EXPENS")</f>
        <v xml:space="preserve">          6282 - JANITORIAL/EXTERMINATOR EXPENS</v>
      </c>
      <c r="C79" s="14"/>
      <c r="D79" s="2">
        <v>821.95</v>
      </c>
      <c r="E79" s="2">
        <v>1341.9</v>
      </c>
      <c r="F79" s="2">
        <v>1341.9</v>
      </c>
      <c r="G79" s="2">
        <v>1925.71</v>
      </c>
      <c r="H79" s="2">
        <v>1341.9</v>
      </c>
      <c r="I79" s="2">
        <v>1729.9</v>
      </c>
      <c r="J79" s="2">
        <v>1386</v>
      </c>
      <c r="K79" s="2">
        <v>1386</v>
      </c>
      <c r="L79" s="2">
        <v>1386</v>
      </c>
      <c r="M79" s="2">
        <v>1386</v>
      </c>
      <c r="N79" s="2">
        <v>1386</v>
      </c>
      <c r="O79" s="2">
        <v>1386</v>
      </c>
      <c r="P79" s="9"/>
      <c r="Q79" s="2">
        <f>SUM(OSRRefD21_14_0x)+IFERROR(SUM(OSRRefE21_14_0x),0)</f>
        <v>16819.260000000002</v>
      </c>
    </row>
    <row r="80" spans="1:17" s="35" customFormat="1" hidden="1" outlineLevel="1" x14ac:dyDescent="0.3">
      <c r="A80" s="34"/>
      <c r="B80" s="10" t="str">
        <f>CONCATENATE("          ","6283", " - ","PLANT SERVICE")</f>
        <v xml:space="preserve">          6283 - PLANT SERVICE</v>
      </c>
      <c r="C80" s="14"/>
      <c r="D80" s="2"/>
      <c r="E80" s="2"/>
      <c r="F80" s="2"/>
      <c r="G80" s="2"/>
      <c r="H80" s="2"/>
      <c r="I80" s="2"/>
      <c r="J80" s="2">
        <v>100</v>
      </c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SUM(OSRRefD21_14_1x)+IFERROR(SUM(OSRRefE21_14_1x),0)</f>
        <v>600</v>
      </c>
    </row>
    <row r="81" spans="1:17" s="35" customFormat="1" hidden="1" outlineLevel="1" x14ac:dyDescent="0.3">
      <c r="A81" s="34"/>
      <c r="B81" s="10" t="str">
        <f>CONCATENATE("          ","6284", " - ","TRASH REMOVAL EXPENSE")</f>
        <v xml:space="preserve">          6284 - TRASH REMOVAL EXPENSE</v>
      </c>
      <c r="C81" s="14"/>
      <c r="D81" s="2"/>
      <c r="E81" s="2"/>
      <c r="F81" s="2"/>
      <c r="G81" s="2"/>
      <c r="H81" s="2"/>
      <c r="I81" s="2"/>
      <c r="J81" s="2">
        <v>1000</v>
      </c>
      <c r="K81" s="2">
        <v>1000</v>
      </c>
      <c r="L81" s="2">
        <v>1000</v>
      </c>
      <c r="M81" s="2">
        <v>1000</v>
      </c>
      <c r="N81" s="2">
        <v>1000</v>
      </c>
      <c r="O81" s="2">
        <v>1000</v>
      </c>
      <c r="P81" s="9"/>
      <c r="Q81" s="2">
        <f>SUM(OSRRefD21_14_2x)+IFERROR(SUM(OSRRefE21_14_2x),0)</f>
        <v>6000</v>
      </c>
    </row>
    <row r="82" spans="1:17" s="35" customFormat="1" hidden="1" outlineLevel="1" x14ac:dyDescent="0.3">
      <c r="A82" s="34"/>
      <c r="B82" s="10" t="str">
        <f>CONCATENATE("          ","6285", " - ","JANITORIAL SERVICES")</f>
        <v xml:space="preserve">          6285 - JANITORIAL SERVICES</v>
      </c>
      <c r="C82" s="14"/>
      <c r="D82" s="2">
        <v>3759.39</v>
      </c>
      <c r="E82" s="2">
        <v>22236.080000000002</v>
      </c>
      <c r="F82" s="2">
        <v>7218.07</v>
      </c>
      <c r="G82" s="2">
        <v>3804.38</v>
      </c>
      <c r="H82" s="2">
        <v>3385.52</v>
      </c>
      <c r="I82" s="2"/>
      <c r="J82" s="2">
        <v>8224</v>
      </c>
      <c r="K82" s="2">
        <v>8224</v>
      </c>
      <c r="L82" s="2">
        <v>8224</v>
      </c>
      <c r="M82" s="2">
        <v>9099</v>
      </c>
      <c r="N82" s="2">
        <v>8224</v>
      </c>
      <c r="O82" s="2">
        <v>8224</v>
      </c>
      <c r="P82" s="9"/>
      <c r="Q82" s="2">
        <f>SUM(OSRRefD21_14_3x)+IFERROR(SUM(OSRRefE21_14_3x),0)</f>
        <v>90622.44</v>
      </c>
    </row>
    <row r="83" spans="1:17" s="35" customFormat="1" hidden="1" outlineLevel="1" x14ac:dyDescent="0.3">
      <c r="A83" s="34"/>
      <c r="B83" s="10" t="str">
        <f>CONCATENATE("          ","6286", " - ","LAUNDRY EXPENSE")</f>
        <v xml:space="preserve">          6286 - LAUNDRY EXPENSE</v>
      </c>
      <c r="C83" s="14"/>
      <c r="D83" s="2">
        <v>159.74</v>
      </c>
      <c r="E83" s="2">
        <v>211.68</v>
      </c>
      <c r="F83" s="2">
        <v>259.70999999999998</v>
      </c>
      <c r="G83" s="2">
        <v>879.81</v>
      </c>
      <c r="H83" s="2">
        <v>405.7</v>
      </c>
      <c r="I83" s="2">
        <v>896.66</v>
      </c>
      <c r="J83" s="2">
        <v>719</v>
      </c>
      <c r="K83" s="2">
        <v>587</v>
      </c>
      <c r="L83" s="2">
        <v>587</v>
      </c>
      <c r="M83" s="2">
        <v>709</v>
      </c>
      <c r="N83" s="2">
        <v>587</v>
      </c>
      <c r="O83" s="2">
        <v>674</v>
      </c>
      <c r="P83" s="9"/>
      <c r="Q83" s="2">
        <f>SUM(OSRRefD21_14_4x)+IFERROR(SUM(OSRRefE21_14_4x),0)</f>
        <v>6676.3</v>
      </c>
    </row>
    <row r="84" spans="1:17" s="35" customFormat="1" collapsed="1" x14ac:dyDescent="0.3">
      <c r="A84" s="34"/>
      <c r="B84" s="14" t="str">
        <f>CONCATENATE("     ","Subscriptions &amp; Dues                              ")</f>
        <v xml:space="preserve">     Subscriptions &amp; Dues                              </v>
      </c>
      <c r="C84" s="14"/>
      <c r="D84" s="1">
        <f>SUM(OSRRefD21_15x_0)</f>
        <v>130.66999999999999</v>
      </c>
      <c r="E84" s="1">
        <f>SUM(OSRRefD21_15x_1)</f>
        <v>593.59</v>
      </c>
      <c r="F84" s="1">
        <f>SUM(OSRRefD21_15x_2)</f>
        <v>408.93</v>
      </c>
      <c r="G84" s="1">
        <f>SUM(OSRRefD21_15x_3)</f>
        <v>813.81</v>
      </c>
      <c r="H84" s="1">
        <f>SUM(OSRRefD21_15x_4)</f>
        <v>569.5</v>
      </c>
      <c r="I84" s="1">
        <f>SUM(OSRRefD21_15x_5)</f>
        <v>1456.11</v>
      </c>
      <c r="J84" s="1">
        <f>SUM(OSRRefE21_15x_0)</f>
        <v>610</v>
      </c>
      <c r="K84" s="1">
        <f>SUM(OSRRefE21_15x_1)</f>
        <v>610</v>
      </c>
      <c r="L84" s="1">
        <f>SUM(OSRRefE21_15x_2)</f>
        <v>610</v>
      </c>
      <c r="M84" s="1">
        <f>SUM(OSRRefE21_15x_3)</f>
        <v>610</v>
      </c>
      <c r="N84" s="1">
        <f>SUM(OSRRefE21_15x_4)</f>
        <v>610</v>
      </c>
      <c r="O84" s="1">
        <f>SUM(OSRRefE21_15x_5)</f>
        <v>610</v>
      </c>
      <c r="Q84" s="2">
        <f>SUM(OSRRefD20_15x)+IFERROR(SUM(OSRRefE20_15x),0)</f>
        <v>7632.61</v>
      </c>
    </row>
    <row r="85" spans="1:17" s="35" customFormat="1" hidden="1" outlineLevel="1" x14ac:dyDescent="0.3">
      <c r="A85" s="34"/>
      <c r="B85" s="10" t="str">
        <f>CONCATENATE("          ","6275", " - ","SUBSCRIPTIONS")</f>
        <v xml:space="preserve">          6275 - SUBSCRIPTIONS</v>
      </c>
      <c r="C85" s="14"/>
      <c r="D85" s="2">
        <v>130.66999999999999</v>
      </c>
      <c r="E85" s="2">
        <v>593.59</v>
      </c>
      <c r="F85" s="2">
        <v>408.93</v>
      </c>
      <c r="G85" s="2">
        <v>813.81</v>
      </c>
      <c r="H85" s="2">
        <v>569.5</v>
      </c>
      <c r="I85" s="2">
        <v>1456.11</v>
      </c>
      <c r="J85" s="2">
        <v>610</v>
      </c>
      <c r="K85" s="2">
        <v>610</v>
      </c>
      <c r="L85" s="2">
        <v>610</v>
      </c>
      <c r="M85" s="2">
        <v>610</v>
      </c>
      <c r="N85" s="2">
        <v>610</v>
      </c>
      <c r="O85" s="2">
        <v>610</v>
      </c>
      <c r="P85" s="9"/>
      <c r="Q85" s="2">
        <f>SUM(OSRRefD21_15_0x)+IFERROR(SUM(OSRRefE21_15_0x),0)</f>
        <v>7632.61</v>
      </c>
    </row>
    <row r="86" spans="1:17" s="35" customFormat="1" collapsed="1" x14ac:dyDescent="0.3">
      <c r="A86" s="34"/>
      <c r="B86" s="14" t="str">
        <f>CONCATENATE("     ","Supplies                                          ")</f>
        <v xml:space="preserve">     Supplies                                          </v>
      </c>
      <c r="C86" s="14"/>
      <c r="D86" s="1">
        <f>SUM(OSRRefD21_16x_0)</f>
        <v>1842.65</v>
      </c>
      <c r="E86" s="1">
        <f>SUM(OSRRefD21_16x_1)</f>
        <v>3851.58</v>
      </c>
      <c r="F86" s="1">
        <f>SUM(OSRRefD21_16x_2)</f>
        <v>3247.72</v>
      </c>
      <c r="G86" s="1">
        <f>SUM(OSRRefD21_16x_3)</f>
        <v>9149.19</v>
      </c>
      <c r="H86" s="1">
        <f>SUM(OSRRefD21_16x_4)</f>
        <v>1439.75</v>
      </c>
      <c r="I86" s="1">
        <f>SUM(OSRRefD21_16x_5)</f>
        <v>1819.5099999999998</v>
      </c>
      <c r="J86" s="1">
        <f>SUM(OSRRefE21_16x_0)</f>
        <v>4725</v>
      </c>
      <c r="K86" s="1">
        <f>SUM(OSRRefE21_16x_1)</f>
        <v>4475</v>
      </c>
      <c r="L86" s="1">
        <f>SUM(OSRRefE21_16x_2)</f>
        <v>2525</v>
      </c>
      <c r="M86" s="1">
        <f>SUM(OSRRefE21_16x_3)</f>
        <v>2775</v>
      </c>
      <c r="N86" s="1">
        <f>SUM(OSRRefE21_16x_4)</f>
        <v>2925</v>
      </c>
      <c r="O86" s="1">
        <f>SUM(OSRRefE21_16x_5)</f>
        <v>1500</v>
      </c>
      <c r="Q86" s="2">
        <f>SUM(OSRRefD20_16x)+IFERROR(SUM(OSRRefE20_16x),0)</f>
        <v>40275.399999999994</v>
      </c>
    </row>
    <row r="87" spans="1:17" s="35" customFormat="1" hidden="1" outlineLevel="1" x14ac:dyDescent="0.3">
      <c r="A87" s="34"/>
      <c r="B87" s="10" t="str">
        <f>CONCATENATE("          ","6234", " - ","EXPENDABLE SUPPLIES &amp; EQUIPMEN")</f>
        <v xml:space="preserve">          6234 - EXPENDABLE SUPPLIES &amp; EQUIPMEN</v>
      </c>
      <c r="C87" s="14"/>
      <c r="D87" s="2"/>
      <c r="E87" s="2"/>
      <c r="F87" s="2"/>
      <c r="G87" s="2">
        <v>1194.8900000000001</v>
      </c>
      <c r="H87" s="2"/>
      <c r="I87" s="2"/>
      <c r="J87" s="2">
        <v>200</v>
      </c>
      <c r="K87" s="2">
        <v>50</v>
      </c>
      <c r="L87" s="2">
        <v>50</v>
      </c>
      <c r="M87" s="2">
        <v>50</v>
      </c>
      <c r="N87" s="2">
        <v>50</v>
      </c>
      <c r="O87" s="2">
        <v>50</v>
      </c>
      <c r="P87" s="9"/>
      <c r="Q87" s="2">
        <f>SUM(OSRRefD21_16_0x)+IFERROR(SUM(OSRRefE21_16_0x),0)</f>
        <v>1644.89</v>
      </c>
    </row>
    <row r="88" spans="1:17" s="35" customFormat="1" hidden="1" outlineLevel="1" x14ac:dyDescent="0.3">
      <c r="A88" s="34"/>
      <c r="B88" s="10" t="str">
        <f>CONCATENATE("          ","6235", " - ","COVID-19 EXPENSES")</f>
        <v xml:space="preserve">          6235 - COVID-19 EXPENSES</v>
      </c>
      <c r="C88" s="14"/>
      <c r="D88" s="2"/>
      <c r="E88" s="2"/>
      <c r="F88" s="2">
        <v>193.5</v>
      </c>
      <c r="G88" s="2"/>
      <c r="H88" s="2"/>
      <c r="I88" s="2"/>
      <c r="J88" s="2">
        <v>250</v>
      </c>
      <c r="K88" s="2">
        <v>250</v>
      </c>
      <c r="L88" s="2">
        <v>250</v>
      </c>
      <c r="M88" s="2">
        <v>250</v>
      </c>
      <c r="N88" s="2">
        <v>250</v>
      </c>
      <c r="O88" s="2">
        <v>225</v>
      </c>
      <c r="P88" s="9"/>
      <c r="Q88" s="2">
        <f>SUM(OSRRefD21_16_1x)+IFERROR(SUM(OSRRefE21_16_1x),0)</f>
        <v>1668.5</v>
      </c>
    </row>
    <row r="89" spans="1:17" s="35" customFormat="1" hidden="1" outlineLevel="1" x14ac:dyDescent="0.3">
      <c r="A89" s="34"/>
      <c r="B89" s="10" t="str">
        <f>CONCATENATE("          ","6237", " - ","JANITORIAL SUPPLIES")</f>
        <v xml:space="preserve">          6237 - JANITORIAL SUPPLIES</v>
      </c>
      <c r="C89" s="14"/>
      <c r="D89" s="2">
        <v>1002.17</v>
      </c>
      <c r="E89" s="2">
        <v>1453.2</v>
      </c>
      <c r="F89" s="2">
        <v>1716.54</v>
      </c>
      <c r="G89" s="2">
        <v>804.12</v>
      </c>
      <c r="H89" s="2">
        <v>583.25</v>
      </c>
      <c r="I89" s="2">
        <v>892.05</v>
      </c>
      <c r="J89" s="2">
        <v>275</v>
      </c>
      <c r="K89" s="2">
        <v>275</v>
      </c>
      <c r="L89" s="2">
        <v>225</v>
      </c>
      <c r="M89" s="2">
        <v>275</v>
      </c>
      <c r="N89" s="2">
        <v>225</v>
      </c>
      <c r="O89" s="2">
        <v>175</v>
      </c>
      <c r="P89" s="9"/>
      <c r="Q89" s="2">
        <f>SUM(OSRRefD21_16_2x)+IFERROR(SUM(OSRRefE21_16_2x),0)</f>
        <v>7901.33</v>
      </c>
    </row>
    <row r="90" spans="1:17" s="35" customFormat="1" hidden="1" outlineLevel="1" x14ac:dyDescent="0.3">
      <c r="A90" s="34"/>
      <c r="B90" s="10" t="str">
        <f>CONCATENATE("          ","6239", " - ","KITCHEN SUPPLIES")</f>
        <v xml:space="preserve">          6239 - KITCHEN SUPPLIES</v>
      </c>
      <c r="C90" s="14"/>
      <c r="D90" s="2">
        <v>32.03</v>
      </c>
      <c r="E90" s="2">
        <v>218.6</v>
      </c>
      <c r="F90" s="2">
        <v>820.56</v>
      </c>
      <c r="G90" s="2">
        <v>920.86</v>
      </c>
      <c r="H90" s="2">
        <v>291.81</v>
      </c>
      <c r="I90" s="2">
        <v>571.91999999999996</v>
      </c>
      <c r="J90" s="2">
        <v>100</v>
      </c>
      <c r="K90" s="2"/>
      <c r="L90" s="2"/>
      <c r="M90" s="2"/>
      <c r="N90" s="2"/>
      <c r="O90" s="2"/>
      <c r="P90" s="9"/>
      <c r="Q90" s="2">
        <f>SUM(OSRRefD21_16_3x)+IFERROR(SUM(OSRRefE21_16_3x),0)</f>
        <v>2955.78</v>
      </c>
    </row>
    <row r="91" spans="1:17" s="35" customFormat="1" hidden="1" outlineLevel="1" x14ac:dyDescent="0.3">
      <c r="A91" s="34"/>
      <c r="B91" s="10" t="str">
        <f>CONCATENATE("          ","6241", " - ","OFFICE EXPENSE")</f>
        <v xml:space="preserve">          6241 - OFFICE EXPENSE</v>
      </c>
      <c r="C91" s="14"/>
      <c r="D91" s="2">
        <v>643.07000000000005</v>
      </c>
      <c r="E91" s="2">
        <v>1358.93</v>
      </c>
      <c r="F91" s="2">
        <v>194.6</v>
      </c>
      <c r="G91" s="2">
        <v>4156.76</v>
      </c>
      <c r="H91" s="2">
        <v>250.7</v>
      </c>
      <c r="I91" s="2">
        <v>222.53</v>
      </c>
      <c r="J91" s="2">
        <v>200</v>
      </c>
      <c r="K91" s="2"/>
      <c r="L91" s="2">
        <v>50</v>
      </c>
      <c r="M91" s="2"/>
      <c r="N91" s="2">
        <v>50</v>
      </c>
      <c r="O91" s="2"/>
      <c r="P91" s="9"/>
      <c r="Q91" s="2">
        <f>SUM(OSRRefD21_16_4x)+IFERROR(SUM(OSRRefE21_16_4x),0)</f>
        <v>7126.59</v>
      </c>
    </row>
    <row r="92" spans="1:17" s="35" customFormat="1" hidden="1" outlineLevel="1" x14ac:dyDescent="0.3">
      <c r="A92" s="34"/>
      <c r="B92" s="10" t="str">
        <f>CONCATENATE("          ","6243", " - ","PAPER SUPPLIES")</f>
        <v xml:space="preserve">          6243 - PAPER SUPPLIES</v>
      </c>
      <c r="C92" s="14"/>
      <c r="D92" s="2">
        <v>165.38</v>
      </c>
      <c r="E92" s="2">
        <v>320.85000000000002</v>
      </c>
      <c r="F92" s="2">
        <v>50.56</v>
      </c>
      <c r="G92" s="2">
        <v>648.79999999999995</v>
      </c>
      <c r="H92" s="2"/>
      <c r="I92" s="2">
        <v>66.67</v>
      </c>
      <c r="J92" s="2">
        <v>1100</v>
      </c>
      <c r="K92" s="2">
        <v>800</v>
      </c>
      <c r="L92" s="2">
        <v>800</v>
      </c>
      <c r="M92" s="2">
        <v>800</v>
      </c>
      <c r="N92" s="2">
        <v>800</v>
      </c>
      <c r="O92" s="2">
        <v>700</v>
      </c>
      <c r="P92" s="9"/>
      <c r="Q92" s="2">
        <f>SUM(OSRRefD21_16_5x)+IFERROR(SUM(OSRRefE21_16_5x),0)</f>
        <v>6252.26</v>
      </c>
    </row>
    <row r="93" spans="1:17" s="35" customFormat="1" hidden="1" outlineLevel="1" x14ac:dyDescent="0.3">
      <c r="A93" s="34"/>
      <c r="B93" s="10" t="str">
        <f>CONCATENATE("          ","6244", " - ","SAFETY SUPPLY EXPENSE")</f>
        <v xml:space="preserve">          6244 - SAFETY SUPPLY EXPENSE</v>
      </c>
      <c r="C93" s="14"/>
      <c r="D93" s="2"/>
      <c r="E93" s="2"/>
      <c r="F93" s="2"/>
      <c r="G93" s="2"/>
      <c r="H93" s="2"/>
      <c r="I93" s="2"/>
      <c r="J93" s="2"/>
      <c r="K93" s="2"/>
      <c r="L93" s="2"/>
      <c r="M93" s="2">
        <v>50</v>
      </c>
      <c r="N93" s="2"/>
      <c r="O93" s="2"/>
      <c r="P93" s="9"/>
      <c r="Q93" s="2">
        <f>SUM(OSRRefD21_16_6x)+IFERROR(SUM(OSRRefE21_16_6x),0)</f>
        <v>50</v>
      </c>
    </row>
    <row r="94" spans="1:17" s="35" customFormat="1" hidden="1" outlineLevel="1" x14ac:dyDescent="0.3">
      <c r="A94" s="34"/>
      <c r="B94" s="10" t="str">
        <f>CONCATENATE("          ","6245", " - ","PRINTING")</f>
        <v xml:space="preserve">          6245 - PRINTING</v>
      </c>
      <c r="C94" s="14"/>
      <c r="D94" s="2"/>
      <c r="E94" s="2"/>
      <c r="F94" s="2"/>
      <c r="G94" s="2">
        <v>1071</v>
      </c>
      <c r="H94" s="2"/>
      <c r="I94" s="2"/>
      <c r="J94" s="2">
        <v>400</v>
      </c>
      <c r="K94" s="2">
        <v>100</v>
      </c>
      <c r="L94" s="2">
        <v>100</v>
      </c>
      <c r="M94" s="2">
        <v>100</v>
      </c>
      <c r="N94" s="2">
        <v>100</v>
      </c>
      <c r="O94" s="2">
        <v>100</v>
      </c>
      <c r="P94" s="9"/>
      <c r="Q94" s="2">
        <f>SUM(OSRRefD21_16_7x)+IFERROR(SUM(OSRRefE21_16_7x),0)</f>
        <v>1971</v>
      </c>
    </row>
    <row r="95" spans="1:17" s="35" customFormat="1" hidden="1" outlineLevel="1" x14ac:dyDescent="0.3">
      <c r="A95" s="34"/>
      <c r="B95" s="10" t="str">
        <f>CONCATENATE("          ","6247", " - ","STORE SUPPLIES")</f>
        <v xml:space="preserve">          6247 - STORE SUPPLIES</v>
      </c>
      <c r="C95" s="14"/>
      <c r="D95" s="2"/>
      <c r="E95" s="2">
        <v>500</v>
      </c>
      <c r="F95" s="2">
        <v>271.95999999999998</v>
      </c>
      <c r="G95" s="2">
        <v>352.76</v>
      </c>
      <c r="H95" s="2">
        <v>61.04</v>
      </c>
      <c r="I95" s="2">
        <v>66.34</v>
      </c>
      <c r="J95" s="2">
        <v>1700</v>
      </c>
      <c r="K95" s="2">
        <v>2500</v>
      </c>
      <c r="L95" s="2">
        <v>1050</v>
      </c>
      <c r="M95" s="2">
        <v>1250</v>
      </c>
      <c r="N95" s="2">
        <v>1450</v>
      </c>
      <c r="O95" s="2">
        <v>250</v>
      </c>
      <c r="P95" s="9"/>
      <c r="Q95" s="2">
        <f>SUM(OSRRefD21_16_8x)+IFERROR(SUM(OSRRefE21_16_8x),0)</f>
        <v>9452.1</v>
      </c>
    </row>
    <row r="96" spans="1:17" s="35" customFormat="1" hidden="1" outlineLevel="1" x14ac:dyDescent="0.3">
      <c r="A96" s="34"/>
      <c r="B96" s="10" t="str">
        <f>CONCATENATE("          ","6248", " - ","UNIFORMS")</f>
        <v xml:space="preserve">          6248 - UNIFORMS</v>
      </c>
      <c r="C96" s="14"/>
      <c r="D96" s="2"/>
      <c r="E96" s="2"/>
      <c r="F96" s="2"/>
      <c r="G96" s="2"/>
      <c r="H96" s="2">
        <v>252.95</v>
      </c>
      <c r="I96" s="2"/>
      <c r="J96" s="2">
        <v>500</v>
      </c>
      <c r="K96" s="2">
        <v>500</v>
      </c>
      <c r="L96" s="2"/>
      <c r="M96" s="2"/>
      <c r="N96" s="2"/>
      <c r="O96" s="2"/>
      <c r="P96" s="9"/>
      <c r="Q96" s="2">
        <f>SUM(OSRRefD21_16_9x)+IFERROR(SUM(OSRRefE21_16_9x),0)</f>
        <v>1252.95</v>
      </c>
    </row>
    <row r="97" spans="1:17" s="35" customFormat="1" collapsed="1" x14ac:dyDescent="0.3">
      <c r="A97" s="34"/>
      <c r="B97" s="14" t="str">
        <f>CONCATENATE("     ","Telephone/Data Lines                              ")</f>
        <v xml:space="preserve">     Telephone/Data Lines                              </v>
      </c>
      <c r="C97" s="14"/>
      <c r="D97" s="1">
        <f>SUM(OSRRefD21_17x_0)</f>
        <v>642.35</v>
      </c>
      <c r="E97" s="1">
        <f>SUM(OSRRefD21_17x_1)</f>
        <v>873.15</v>
      </c>
      <c r="F97" s="1">
        <f>SUM(OSRRefD21_17x_2)</f>
        <v>1022.78</v>
      </c>
      <c r="G97" s="1">
        <f>SUM(OSRRefD21_17x_3)</f>
        <v>842.11</v>
      </c>
      <c r="H97" s="1">
        <f>SUM(OSRRefD21_17x_4)</f>
        <v>638.1</v>
      </c>
      <c r="I97" s="1">
        <f>SUM(OSRRefD21_17x_5)</f>
        <v>780.95</v>
      </c>
      <c r="J97" s="1">
        <f>SUM(OSRRefE21_17x_0)</f>
        <v>688</v>
      </c>
      <c r="K97" s="1">
        <f>SUM(OSRRefE21_17x_1)</f>
        <v>538</v>
      </c>
      <c r="L97" s="1">
        <f>SUM(OSRRefE21_17x_2)</f>
        <v>538</v>
      </c>
      <c r="M97" s="1">
        <f>SUM(OSRRefE21_17x_3)</f>
        <v>538</v>
      </c>
      <c r="N97" s="1">
        <f>SUM(OSRRefE21_17x_4)</f>
        <v>688</v>
      </c>
      <c r="O97" s="1">
        <f>SUM(OSRRefE21_17x_5)</f>
        <v>538</v>
      </c>
      <c r="Q97" s="2">
        <f>SUM(OSRRefD20_17x)+IFERROR(SUM(OSRRefE20_17x),0)</f>
        <v>8327.4399999999987</v>
      </c>
    </row>
    <row r="98" spans="1:17" s="35" customFormat="1" hidden="1" outlineLevel="1" x14ac:dyDescent="0.3">
      <c r="A98" s="34"/>
      <c r="B98" s="10" t="str">
        <f>CONCATENATE("          ","6303", " - ","DATA PHONE LINES")</f>
        <v xml:space="preserve">          6303 - DATA PHONE LINES</v>
      </c>
      <c r="C98" s="14"/>
      <c r="D98" s="2"/>
      <c r="E98" s="2"/>
      <c r="F98" s="2"/>
      <c r="G98" s="2"/>
      <c r="H98" s="2"/>
      <c r="I98" s="2"/>
      <c r="J98" s="2">
        <v>185</v>
      </c>
      <c r="K98" s="2">
        <v>185</v>
      </c>
      <c r="L98" s="2">
        <v>185</v>
      </c>
      <c r="M98" s="2">
        <v>185</v>
      </c>
      <c r="N98" s="2">
        <v>185</v>
      </c>
      <c r="O98" s="2">
        <v>185</v>
      </c>
      <c r="P98" s="9"/>
      <c r="Q98" s="2">
        <f>SUM(OSRRefD21_17_0x)+IFERROR(SUM(OSRRefE21_17_0x),0)</f>
        <v>1110</v>
      </c>
    </row>
    <row r="99" spans="1:17" s="35" customFormat="1" hidden="1" outlineLevel="1" x14ac:dyDescent="0.3">
      <c r="A99" s="34"/>
      <c r="B99" s="10" t="str">
        <f>CONCATENATE("          ","6309", " - ","TELEPHONE")</f>
        <v xml:space="preserve">          6309 - TELEPHONE</v>
      </c>
      <c r="C99" s="14"/>
      <c r="D99" s="2">
        <v>642.35</v>
      </c>
      <c r="E99" s="2">
        <v>873.15</v>
      </c>
      <c r="F99" s="2">
        <v>1022.78</v>
      </c>
      <c r="G99" s="2">
        <v>842.11</v>
      </c>
      <c r="H99" s="2">
        <v>638.1</v>
      </c>
      <c r="I99" s="2">
        <v>780.95</v>
      </c>
      <c r="J99" s="2">
        <v>503</v>
      </c>
      <c r="K99" s="2">
        <v>353</v>
      </c>
      <c r="L99" s="2">
        <v>353</v>
      </c>
      <c r="M99" s="2">
        <v>353</v>
      </c>
      <c r="N99" s="2">
        <v>503</v>
      </c>
      <c r="O99" s="2">
        <v>353</v>
      </c>
      <c r="P99" s="9"/>
      <c r="Q99" s="2">
        <f>SUM(OSRRefD21_17_1x)+IFERROR(SUM(OSRRefE21_17_1x),0)</f>
        <v>7217.44</v>
      </c>
    </row>
    <row r="100" spans="1:17" s="35" customFormat="1" collapsed="1" x14ac:dyDescent="0.3">
      <c r="A100" s="34"/>
      <c r="B100" s="14" t="str">
        <f>CONCATENATE("     ","Training                                          ")</f>
        <v xml:space="preserve">     Training                                          </v>
      </c>
      <c r="C100" s="14"/>
      <c r="D100" s="1">
        <f>SUM(OSRRefD21_18x_0)</f>
        <v>0</v>
      </c>
      <c r="E100" s="1">
        <f>SUM(OSRRefD21_18x_1)</f>
        <v>0</v>
      </c>
      <c r="F100" s="1">
        <f>SUM(OSRRefD21_18x_2)</f>
        <v>0</v>
      </c>
      <c r="G100" s="1">
        <f>SUM(OSRRefD21_18x_3)</f>
        <v>0</v>
      </c>
      <c r="H100" s="1">
        <f>SUM(OSRRefD21_18x_4)</f>
        <v>0</v>
      </c>
      <c r="I100" s="1">
        <f>SUM(OSRRefD21_18x_5)</f>
        <v>0</v>
      </c>
      <c r="J100" s="1">
        <f>SUM(OSRRefE21_18x_0)</f>
        <v>1135</v>
      </c>
      <c r="K100" s="1">
        <f>SUM(OSRRefE21_18x_1)</f>
        <v>0</v>
      </c>
      <c r="L100" s="1">
        <f>SUM(OSRRefE21_18x_2)</f>
        <v>3300</v>
      </c>
      <c r="M100" s="1">
        <f>SUM(OSRRefE21_18x_3)</f>
        <v>0</v>
      </c>
      <c r="N100" s="1">
        <f>SUM(OSRRefE21_18x_4)</f>
        <v>0</v>
      </c>
      <c r="O100" s="1">
        <f>SUM(OSRRefE21_18x_5)</f>
        <v>0</v>
      </c>
      <c r="Q100" s="2">
        <f>SUM(OSRRefD20_18x)+IFERROR(SUM(OSRRefE20_18x),0)</f>
        <v>4435</v>
      </c>
    </row>
    <row r="101" spans="1:17" s="35" customFormat="1" hidden="1" outlineLevel="1" x14ac:dyDescent="0.3">
      <c r="A101" s="34"/>
      <c r="B101" s="10" t="str">
        <f>CONCATENATE("          ","6376", " - ","TRAINING")</f>
        <v xml:space="preserve">          6376 - TRAINING</v>
      </c>
      <c r="C101" s="14"/>
      <c r="D101" s="2"/>
      <c r="E101" s="2"/>
      <c r="F101" s="2"/>
      <c r="G101" s="2"/>
      <c r="H101" s="2"/>
      <c r="I101" s="2"/>
      <c r="J101" s="2">
        <v>1135</v>
      </c>
      <c r="K101" s="2"/>
      <c r="L101" s="2">
        <v>3300</v>
      </c>
      <c r="M101" s="2"/>
      <c r="N101" s="2"/>
      <c r="O101" s="2"/>
      <c r="P101" s="9"/>
      <c r="Q101" s="2">
        <f>SUM(OSRRefD21_18_0x)+IFERROR(SUM(OSRRefE21_18_0x),0)</f>
        <v>4435</v>
      </c>
    </row>
    <row r="102" spans="1:17" s="35" customFormat="1" collapsed="1" x14ac:dyDescent="0.3">
      <c r="A102" s="34"/>
      <c r="B102" s="14" t="str">
        <f>CONCATENATE("     ","Travel                                            ")</f>
        <v xml:space="preserve">     Travel                                            </v>
      </c>
      <c r="C102" s="14"/>
      <c r="D102" s="1">
        <f>SUM(OSRRefD21_19x_0)</f>
        <v>0</v>
      </c>
      <c r="E102" s="1">
        <f>SUM(OSRRefD21_19x_1)</f>
        <v>0</v>
      </c>
      <c r="F102" s="1">
        <f>SUM(OSRRefD21_19x_2)</f>
        <v>0</v>
      </c>
      <c r="G102" s="1">
        <f>SUM(OSRRefD21_19x_3)</f>
        <v>0</v>
      </c>
      <c r="H102" s="1">
        <f>SUM(OSRRefD21_19x_4)</f>
        <v>18.59</v>
      </c>
      <c r="I102" s="1">
        <f>SUM(OSRRefD21_19x_5)</f>
        <v>0</v>
      </c>
      <c r="J102" s="1">
        <f>SUM(OSRRefE21_19x_0)</f>
        <v>0</v>
      </c>
      <c r="K102" s="1">
        <f>SUM(OSRRefE21_19x_1)</f>
        <v>600</v>
      </c>
      <c r="L102" s="1">
        <f>SUM(OSRRefE21_19x_2)</f>
        <v>600</v>
      </c>
      <c r="M102" s="1">
        <f>SUM(OSRRefE21_19x_3)</f>
        <v>0</v>
      </c>
      <c r="N102" s="1">
        <f>SUM(OSRRefE21_19x_4)</f>
        <v>0</v>
      </c>
      <c r="O102" s="1">
        <f>SUM(OSRRefE21_19x_5)</f>
        <v>0</v>
      </c>
      <c r="Q102" s="2">
        <f>SUM(OSRRefD20_19x)+IFERROR(SUM(OSRRefE20_19x),0)</f>
        <v>1218.5899999999999</v>
      </c>
    </row>
    <row r="103" spans="1:17" s="35" customFormat="1" hidden="1" outlineLevel="1" x14ac:dyDescent="0.3">
      <c r="A103" s="34"/>
      <c r="B103" s="10" t="str">
        <f>CONCATENATE("          ","6292", " - ","TRAVEL/CONFERENCE")</f>
        <v xml:space="preserve">          6292 - TRAVEL/CONFERENCE</v>
      </c>
      <c r="C103" s="14"/>
      <c r="D103" s="2"/>
      <c r="E103" s="2"/>
      <c r="F103" s="2"/>
      <c r="G103" s="2"/>
      <c r="H103" s="2">
        <v>18.59</v>
      </c>
      <c r="I103" s="2"/>
      <c r="J103" s="2"/>
      <c r="K103" s="2">
        <v>600</v>
      </c>
      <c r="L103" s="2">
        <v>600</v>
      </c>
      <c r="M103" s="2"/>
      <c r="N103" s="2"/>
      <c r="O103" s="2"/>
      <c r="P103" s="9"/>
      <c r="Q103" s="2">
        <f>SUM(OSRRefD21_19_0x)+IFERROR(SUM(OSRRefE21_19_0x),0)</f>
        <v>1218.5899999999999</v>
      </c>
    </row>
    <row r="104" spans="1:17" s="35" customFormat="1" collapsed="1" x14ac:dyDescent="0.3">
      <c r="A104" s="34"/>
      <c r="B104" s="14" t="str">
        <f>CONCATENATE("     ","Utilities                                         ")</f>
        <v xml:space="preserve">     Utilities                                         </v>
      </c>
      <c r="C104" s="14"/>
      <c r="D104" s="1">
        <f>SUM(OSRRefD21_20x_0)</f>
        <v>8250</v>
      </c>
      <c r="E104" s="1">
        <f>SUM(OSRRefD21_20x_1)</f>
        <v>8250</v>
      </c>
      <c r="F104" s="1">
        <f>SUM(OSRRefD21_20x_2)</f>
        <v>8250</v>
      </c>
      <c r="G104" s="1">
        <f>SUM(OSRRefD21_20x_3)</f>
        <v>5850</v>
      </c>
      <c r="H104" s="1">
        <f>SUM(OSRRefD21_20x_4)</f>
        <v>8250</v>
      </c>
      <c r="I104" s="1">
        <f>SUM(OSRRefD21_20x_5)</f>
        <v>8250</v>
      </c>
      <c r="J104" s="1">
        <f>SUM(OSRRefE21_20x_0)</f>
        <v>8667</v>
      </c>
      <c r="K104" s="1">
        <f>SUM(OSRRefE21_20x_1)</f>
        <v>8667</v>
      </c>
      <c r="L104" s="1">
        <f>SUM(OSRRefE21_20x_2)</f>
        <v>8667</v>
      </c>
      <c r="M104" s="1">
        <f>SUM(OSRRefE21_20x_3)</f>
        <v>8667</v>
      </c>
      <c r="N104" s="1">
        <f>SUM(OSRRefE21_20x_4)</f>
        <v>8667</v>
      </c>
      <c r="O104" s="1">
        <f>SUM(OSRRefE21_20x_5)</f>
        <v>8663</v>
      </c>
      <c r="Q104" s="2">
        <f>SUM(OSRRefD20_20x)+IFERROR(SUM(OSRRefE20_20x),0)</f>
        <v>99098</v>
      </c>
    </row>
    <row r="105" spans="1:17" s="35" customFormat="1" hidden="1" outlineLevel="1" x14ac:dyDescent="0.3">
      <c r="A105" s="34"/>
      <c r="B105" s="10" t="str">
        <f>CONCATENATE("          ","6274", " - ","UTILITIES")</f>
        <v xml:space="preserve">          6274 - UTILITIES</v>
      </c>
      <c r="C105" s="14"/>
      <c r="D105" s="2">
        <v>8250</v>
      </c>
      <c r="E105" s="2">
        <v>8250</v>
      </c>
      <c r="F105" s="2">
        <v>8250</v>
      </c>
      <c r="G105" s="2">
        <v>5850</v>
      </c>
      <c r="H105" s="2">
        <v>8250</v>
      </c>
      <c r="I105" s="2">
        <v>8250</v>
      </c>
      <c r="J105" s="2">
        <v>8667</v>
      </c>
      <c r="K105" s="2">
        <v>8667</v>
      </c>
      <c r="L105" s="2">
        <v>8667</v>
      </c>
      <c r="M105" s="2">
        <v>8667</v>
      </c>
      <c r="N105" s="2">
        <v>8667</v>
      </c>
      <c r="O105" s="2">
        <v>8663</v>
      </c>
      <c r="P105" s="9"/>
      <c r="Q105" s="2">
        <f>SUM(OSRRefD21_20_0x)+IFERROR(SUM(OSRRefE21_20_0x),0)</f>
        <v>99098</v>
      </c>
    </row>
    <row r="106" spans="1:17" s="29" customFormat="1" x14ac:dyDescent="0.3">
      <c r="A106" s="21"/>
      <c r="B106" s="21"/>
      <c r="C106" s="2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</row>
    <row r="107" spans="1:17" s="9" customFormat="1" x14ac:dyDescent="0.3">
      <c r="A107" s="23"/>
      <c r="B107" s="16" t="s">
        <v>293</v>
      </c>
      <c r="C107" s="22"/>
      <c r="D107" s="3">
        <f>--2655.42</f>
        <v>2655.42</v>
      </c>
      <c r="E107" s="3">
        <f>--11546.83</f>
        <v>11546.83</v>
      </c>
      <c r="F107" s="3">
        <f>--2991.8</f>
        <v>2991.8</v>
      </c>
      <c r="G107" s="3">
        <f>--6812.67</f>
        <v>6812.67</v>
      </c>
      <c r="H107" s="3">
        <f>--6011.63</f>
        <v>6011.63</v>
      </c>
      <c r="I107" s="3">
        <f>--104600.16</f>
        <v>104600.16</v>
      </c>
      <c r="J107" s="3">
        <v>46218.59</v>
      </c>
      <c r="K107" s="3">
        <v>37154.720000000001</v>
      </c>
      <c r="L107" s="3">
        <v>21607.09</v>
      </c>
      <c r="M107" s="3">
        <v>28752.13</v>
      </c>
      <c r="N107" s="3">
        <v>29120.49</v>
      </c>
      <c r="O107" s="3">
        <v>12000</v>
      </c>
      <c r="Q107" s="2">
        <f>SUM(OSRRefD23_0x)+IFERROR(SUM(OSRRefE23_0x),0)</f>
        <v>309471.53000000003</v>
      </c>
    </row>
    <row r="108" spans="1:17" x14ac:dyDescent="0.3">
      <c r="A108" s="5"/>
      <c r="B108" s="6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6"/>
      <c r="B109" s="17" t="s">
        <v>276</v>
      </c>
      <c r="C109" s="17"/>
      <c r="D109" s="7">
        <f t="shared" ref="D109:O109" si="4">IFERROR(+D23-D26+D107, 0)</f>
        <v>-140482.68</v>
      </c>
      <c r="E109" s="7">
        <f t="shared" si="4"/>
        <v>-176293.35</v>
      </c>
      <c r="F109" s="7">
        <f t="shared" si="4"/>
        <v>-102250.19000000002</v>
      </c>
      <c r="G109" s="7">
        <f t="shared" si="4"/>
        <v>-106671.09999999995</v>
      </c>
      <c r="H109" s="7">
        <f t="shared" si="4"/>
        <v>-116215.66000000002</v>
      </c>
      <c r="I109" s="7">
        <f t="shared" si="4"/>
        <v>-30225.710000000021</v>
      </c>
      <c r="J109" s="7">
        <f t="shared" si="4"/>
        <v>-75903.552113800222</v>
      </c>
      <c r="K109" s="7">
        <f t="shared" si="4"/>
        <v>86206.175754189288</v>
      </c>
      <c r="L109" s="7">
        <f t="shared" si="4"/>
        <v>62256.738387417077</v>
      </c>
      <c r="M109" s="7">
        <f t="shared" si="4"/>
        <v>45526.472822707496</v>
      </c>
      <c r="N109" s="7">
        <f t="shared" si="4"/>
        <v>-13628.699993820326</v>
      </c>
      <c r="O109" s="7">
        <f t="shared" si="4"/>
        <v>-115008.17827967141</v>
      </c>
      <c r="Q109" s="7">
        <f>IFERROR(+Q23-Q26+Q107, 0)</f>
        <v>-682689.73342297762</v>
      </c>
    </row>
    <row r="110" spans="1:17" s="6" customFormat="1" x14ac:dyDescent="0.3">
      <c r="B110" s="16"/>
      <c r="C110" s="16"/>
      <c r="D110" s="4">
        <f t="shared" ref="D110:O110" si="5">IFERROR(D109/D10, 0)</f>
        <v>-7.130264420770966</v>
      </c>
      <c r="E110" s="4">
        <f t="shared" si="5"/>
        <v>-2.9908662319822357</v>
      </c>
      <c r="F110" s="4">
        <f t="shared" si="5"/>
        <v>-0.69901133660973658</v>
      </c>
      <c r="G110" s="4">
        <f t="shared" si="5"/>
        <v>-0.51689222421271264</v>
      </c>
      <c r="H110" s="4">
        <f t="shared" si="5"/>
        <v>-0.98791707307204057</v>
      </c>
      <c r="I110" s="4">
        <f t="shared" si="5"/>
        <v>-0.25970654580020364</v>
      </c>
      <c r="J110" s="4">
        <f t="shared" si="5"/>
        <v>-0.40599904850793089</v>
      </c>
      <c r="K110" s="4">
        <f t="shared" si="5"/>
        <v>0.17544759490015119</v>
      </c>
      <c r="L110" s="4">
        <f t="shared" si="5"/>
        <v>0.13354570713092728</v>
      </c>
      <c r="M110" s="4">
        <f t="shared" si="5"/>
        <v>9.6797077838507717E-2</v>
      </c>
      <c r="N110" s="4">
        <f t="shared" si="5"/>
        <v>-4.7209424751530477E-2</v>
      </c>
      <c r="O110" s="4">
        <f t="shared" si="5"/>
        <v>-1.178350409111294</v>
      </c>
      <c r="P110" s="18"/>
      <c r="Q110" s="4">
        <f>IFERROR(Q109/Q10, 0)</f>
        <v>-0.25603235510925482</v>
      </c>
    </row>
    <row r="111" spans="1:17" x14ac:dyDescent="0.3">
      <c r="A111" s="5"/>
      <c r="B111" s="6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x14ac:dyDescent="0.3">
      <c r="A112" s="25"/>
      <c r="B112" s="6" t="s">
        <v>125</v>
      </c>
      <c r="C112" s="6"/>
      <c r="D112" s="3">
        <v>9102.39</v>
      </c>
      <c r="E112" s="3">
        <v>2649.95</v>
      </c>
      <c r="F112" s="3">
        <v>16087.84</v>
      </c>
      <c r="G112" s="3">
        <v>22013.919999999998</v>
      </c>
      <c r="H112" s="3">
        <v>15530.11</v>
      </c>
      <c r="I112" s="3">
        <v>14700.4</v>
      </c>
      <c r="J112" s="3">
        <v>20697</v>
      </c>
      <c r="K112" s="3">
        <v>57504</v>
      </c>
      <c r="L112" s="3">
        <v>56152</v>
      </c>
      <c r="M112" s="3">
        <v>60074</v>
      </c>
      <c r="N112" s="3">
        <v>37934</v>
      </c>
      <c r="O112" s="3">
        <v>-15955</v>
      </c>
      <c r="Q112" s="2">
        <f>SUM(OSRRefD28_0x)+IFERROR(SUM(OSRRefE28_0x),0)</f>
        <v>296490.61</v>
      </c>
    </row>
    <row r="113" spans="1:17" x14ac:dyDescent="0.3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ht="15" thickBot="1" x14ac:dyDescent="0.35">
      <c r="A114" s="6"/>
      <c r="B114" s="17" t="s">
        <v>124</v>
      </c>
      <c r="C114" s="17"/>
      <c r="D114" s="8">
        <f t="shared" ref="D114:O114" si="6">IFERROR(+D109-D112, 0)</f>
        <v>-149585.07</v>
      </c>
      <c r="E114" s="8">
        <f t="shared" si="6"/>
        <v>-178943.30000000002</v>
      </c>
      <c r="F114" s="8">
        <f t="shared" si="6"/>
        <v>-118338.03000000001</v>
      </c>
      <c r="G114" s="8">
        <f t="shared" si="6"/>
        <v>-128685.01999999995</v>
      </c>
      <c r="H114" s="8">
        <f t="shared" si="6"/>
        <v>-131745.77000000002</v>
      </c>
      <c r="I114" s="8">
        <f t="shared" si="6"/>
        <v>-44926.110000000022</v>
      </c>
      <c r="J114" s="8">
        <f t="shared" si="6"/>
        <v>-96600.552113800222</v>
      </c>
      <c r="K114" s="8">
        <f t="shared" si="6"/>
        <v>28702.175754189288</v>
      </c>
      <c r="L114" s="8">
        <f t="shared" si="6"/>
        <v>6104.7383874170773</v>
      </c>
      <c r="M114" s="8">
        <f t="shared" si="6"/>
        <v>-14547.527177292504</v>
      </c>
      <c r="N114" s="8">
        <f t="shared" si="6"/>
        <v>-51562.699993820323</v>
      </c>
      <c r="O114" s="8">
        <f t="shared" si="6"/>
        <v>-99053.178279671411</v>
      </c>
      <c r="Q114" s="8">
        <f>IFERROR(+Q109-Q112, 0)</f>
        <v>-979180.3434229776</v>
      </c>
    </row>
    <row r="115" spans="1:17" ht="15" thickTop="1" x14ac:dyDescent="0.3">
      <c r="A115" s="5"/>
      <c r="B115" s="5"/>
      <c r="C115" s="5"/>
      <c r="D115" s="4">
        <f t="shared" ref="D115:O115" si="7">IFERROR(D114/D10, 0)</f>
        <v>-7.5922605014335893</v>
      </c>
      <c r="E115" s="4">
        <f t="shared" si="7"/>
        <v>-3.0358233785305391</v>
      </c>
      <c r="F115" s="4">
        <f t="shared" si="7"/>
        <v>-0.80899237959423931</v>
      </c>
      <c r="G115" s="4">
        <f t="shared" si="7"/>
        <v>-0.62356426633509376</v>
      </c>
      <c r="H115" s="4">
        <f t="shared" si="7"/>
        <v>-1.1199342282100557</v>
      </c>
      <c r="I115" s="4">
        <f t="shared" si="7"/>
        <v>-0.38601590646969036</v>
      </c>
      <c r="J115" s="4">
        <f t="shared" si="7"/>
        <v>-0.51670483332245842</v>
      </c>
      <c r="K115" s="4">
        <f t="shared" si="7"/>
        <v>5.8414929793811514E-2</v>
      </c>
      <c r="L115" s="4">
        <f t="shared" si="7"/>
        <v>1.3095154450971137E-2</v>
      </c>
      <c r="M115" s="4">
        <f t="shared" si="7"/>
        <v>-3.0930534109724267E-2</v>
      </c>
      <c r="N115" s="4">
        <f t="shared" si="7"/>
        <v>-0.17861170958695718</v>
      </c>
      <c r="O115" s="4">
        <f t="shared" si="7"/>
        <v>-1.0148787233703693</v>
      </c>
      <c r="P115" s="18"/>
      <c r="Q115" s="4">
        <f>IFERROR(Q114/Q10, 0)</f>
        <v>-0.36722662892008845</v>
      </c>
    </row>
    <row r="116" spans="1:17" x14ac:dyDescent="0.3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x14ac:dyDescent="0.3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" thickBot="1" x14ac:dyDescent="0.35">
      <c r="A118" s="6"/>
      <c r="B118" s="17" t="s">
        <v>294</v>
      </c>
      <c r="C118" s="17"/>
      <c r="D118" s="8">
        <f t="shared" ref="D118:O118" si="8">IFERROR(SUM(D114:D117), 0)</f>
        <v>-149592.66226050144</v>
      </c>
      <c r="E118" s="8">
        <f t="shared" si="8"/>
        <v>-178946.33582337855</v>
      </c>
      <c r="F118" s="8">
        <f t="shared" si="8"/>
        <v>-118338.83899237961</v>
      </c>
      <c r="G118" s="8">
        <f t="shared" si="8"/>
        <v>-128685.64356426628</v>
      </c>
      <c r="H118" s="8">
        <f t="shared" si="8"/>
        <v>-131746.88993422824</v>
      </c>
      <c r="I118" s="8">
        <f t="shared" si="8"/>
        <v>-44926.496015906494</v>
      </c>
      <c r="J118" s="8">
        <f t="shared" si="8"/>
        <v>-96601.068818633546</v>
      </c>
      <c r="K118" s="8">
        <f t="shared" si="8"/>
        <v>28702.234169119081</v>
      </c>
      <c r="L118" s="8">
        <f t="shared" si="8"/>
        <v>6104.751482571528</v>
      </c>
      <c r="M118" s="8">
        <f t="shared" si="8"/>
        <v>-14547.558107826613</v>
      </c>
      <c r="N118" s="8">
        <f t="shared" si="8"/>
        <v>-51562.878605529906</v>
      </c>
      <c r="O118" s="8">
        <f t="shared" si="8"/>
        <v>-99054.193158394788</v>
      </c>
      <c r="Q118" s="8">
        <f>IFERROR(SUM(Q114:Q117), 0)</f>
        <v>-979180.71064960654</v>
      </c>
    </row>
    <row r="119" spans="1:17" ht="15" thickTop="1" x14ac:dyDescent="0.3">
      <c r="A119" s="5"/>
      <c r="C119" s="5"/>
      <c r="D119" s="4">
        <f t="shared" ref="D119:O119" si="9">IFERROR(D118/D10, 0)</f>
        <v>-7.5926458501821088</v>
      </c>
      <c r="E119" s="4">
        <f t="shared" si="9"/>
        <v>-3.0358748821274082</v>
      </c>
      <c r="F119" s="4">
        <f t="shared" si="9"/>
        <v>-0.80899791009588995</v>
      </c>
      <c r="G119" s="4">
        <f t="shared" si="9"/>
        <v>-0.62356728791751448</v>
      </c>
      <c r="H119" s="4">
        <f t="shared" si="9"/>
        <v>-1.1199437484601216</v>
      </c>
      <c r="I119" s="4">
        <f t="shared" si="9"/>
        <v>-0.3860192232108916</v>
      </c>
      <c r="J119" s="4">
        <f t="shared" si="9"/>
        <v>-0.51670759711499314</v>
      </c>
      <c r="K119" s="4">
        <f t="shared" si="9"/>
        <v>5.841504868040924E-2</v>
      </c>
      <c r="L119" s="4">
        <f t="shared" si="9"/>
        <v>1.3095182541129831E-2</v>
      </c>
      <c r="M119" s="4">
        <f t="shared" si="9"/>
        <v>-3.0930599873336777E-2</v>
      </c>
      <c r="N119" s="4">
        <f t="shared" si="9"/>
        <v>-0.17861232829278145</v>
      </c>
      <c r="O119" s="4">
        <f t="shared" si="9"/>
        <v>-1.0148891216114055</v>
      </c>
      <c r="P119" s="18"/>
      <c r="Q119" s="4">
        <f>IFERROR(Q118/Q10, 0)</f>
        <v>-0.36722676664282555</v>
      </c>
    </row>
    <row r="120" spans="1:17" x14ac:dyDescent="0.3">
      <c r="A120" s="5"/>
      <c r="B120" s="28">
        <v>44575.850635069444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  <row r="121" spans="1:17" x14ac:dyDescent="0.3">
      <c r="A121" s="5"/>
      <c r="B121" s="26" t="s">
        <v>54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Q121" s="13"/>
    </row>
    <row r="122" spans="1:17" x14ac:dyDescent="0.3">
      <c r="A122" s="5"/>
      <c r="B122" s="3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Q122" s="13"/>
    </row>
    <row r="123" spans="1:17" x14ac:dyDescent="0.3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Q12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103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52278.77</v>
      </c>
      <c r="F10" s="3">
        <f>SUM(OSRRefD11x_2)</f>
        <v>130165.4</v>
      </c>
      <c r="G10" s="3">
        <f>SUM(OSRRefD11x_3)</f>
        <v>180540.05000000002</v>
      </c>
      <c r="H10" s="3">
        <f>SUM(OSRRefD11x_4)</f>
        <v>102315.87</v>
      </c>
      <c r="I10" s="3">
        <f>SUM(OSRRefD11x_5)</f>
        <v>103905.87000000001</v>
      </c>
      <c r="J10" s="3">
        <f>SUM(OSRRefE11x_0)</f>
        <v>151529</v>
      </c>
      <c r="K10" s="3">
        <f>SUM(OSRRefE11x_1)</f>
        <v>394768</v>
      </c>
      <c r="L10" s="3">
        <f>SUM(OSRRefE11x_2)</f>
        <v>373729</v>
      </c>
      <c r="M10" s="3">
        <f>SUM(OSRRefE11x_3)</f>
        <v>386250</v>
      </c>
      <c r="N10" s="3">
        <f>SUM(OSRRefE11x_4)</f>
        <v>245916</v>
      </c>
      <c r="O10" s="3">
        <f>SUM(OSRRefE11x_5)</f>
        <v>84576</v>
      </c>
      <c r="P10" s="24"/>
      <c r="Q10" s="3">
        <f>SUM(OSRRefG11x)</f>
        <v>2225676.27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719451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/>
      <c r="K12" s="2"/>
      <c r="L12" s="2"/>
      <c r="M12" s="2"/>
      <c r="N12" s="2"/>
      <c r="O12" s="2"/>
      <c r="Q12" s="2">
        <f>SUM(OSRRefD11_1x)+IFERROR(SUM(OSRRefE11_1x),0)</f>
        <v>146982.79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 t="shared" ref="D13:F14" si="1">0</f>
        <v>0</v>
      </c>
      <c r="E13" s="2">
        <f t="shared" si="1"/>
        <v>0</v>
      </c>
      <c r="F13" s="2">
        <f t="shared" si="1"/>
        <v>0</v>
      </c>
      <c r="G13" s="2">
        <f>--4264.84</f>
        <v>4264.84</v>
      </c>
      <c r="H13" s="2">
        <f>--1464.84</f>
        <v>1464.84</v>
      </c>
      <c r="I13" s="2">
        <f>--1649.9</f>
        <v>1649.9</v>
      </c>
      <c r="J13" s="2"/>
      <c r="K13" s="2"/>
      <c r="L13" s="2"/>
      <c r="M13" s="2"/>
      <c r="N13" s="2"/>
      <c r="O13" s="2"/>
      <c r="Q13" s="2">
        <f>SUM(OSRRefD11_2x)+IFERROR(SUM(OSRRefE11_2x),0)</f>
        <v>7379.58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ref="G14:I14" si="2">0</f>
        <v>0</v>
      </c>
      <c r="H14" s="2">
        <f t="shared" si="2"/>
        <v>0</v>
      </c>
      <c r="I14" s="2">
        <f t="shared" si="2"/>
        <v>0</v>
      </c>
      <c r="J14" s="2">
        <v>82363</v>
      </c>
      <c r="K14" s="2">
        <v>224919</v>
      </c>
      <c r="L14" s="2">
        <v>211818</v>
      </c>
      <c r="M14" s="2">
        <v>214606</v>
      </c>
      <c r="N14" s="2">
        <v>138372</v>
      </c>
      <c r="O14" s="2">
        <v>45239</v>
      </c>
      <c r="Q14" s="2">
        <f>SUM(OSRRefD11_3x)+IFERROR(SUM(OSRRefE11_3x),0)</f>
        <v>917317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>
        <f>--77750.43</f>
        <v>77750.429999999993</v>
      </c>
      <c r="I15" s="2">
        <f>--82624.35</f>
        <v>82624.350000000006</v>
      </c>
      <c r="J15" s="2"/>
      <c r="K15" s="2"/>
      <c r="L15" s="2"/>
      <c r="M15" s="2"/>
      <c r="N15" s="2"/>
      <c r="O15" s="2"/>
      <c r="Q15" s="2">
        <f>SUM(OSRRefD11_4x)+IFERROR(SUM(OSRRefE11_4x),0)</f>
        <v>434545.9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5059.3799999999992</v>
      </c>
      <c r="E17" s="3">
        <f>SUM(OSRRefD14x_1)</f>
        <v>14137.050000000003</v>
      </c>
      <c r="F17" s="3">
        <f>SUM(OSRRefD14x_2)</f>
        <v>51153.03</v>
      </c>
      <c r="G17" s="3">
        <f>SUM(OSRRefD14x_3)</f>
        <v>77772.61</v>
      </c>
      <c r="H17" s="3">
        <f>SUM(OSRRefD14x_4)</f>
        <v>42822.090000000004</v>
      </c>
      <c r="I17" s="3">
        <f>SUM(OSRRefD14x_5)</f>
        <v>42694.93</v>
      </c>
      <c r="J17" s="3">
        <f>SUM(OSRRefE14x_0)</f>
        <v>52138</v>
      </c>
      <c r="K17" s="3">
        <f>SUM(OSRRefE14x_1)</f>
        <v>133564</v>
      </c>
      <c r="L17" s="3">
        <f>SUM(OSRRefE14x_2)</f>
        <v>127913</v>
      </c>
      <c r="M17" s="3">
        <f>SUM(OSRRefE14x_3)</f>
        <v>133455</v>
      </c>
      <c r="N17" s="3">
        <f>SUM(OSRRefE14x_4)</f>
        <v>85269</v>
      </c>
      <c r="O17" s="3">
        <f>SUM(OSRRefE14x_5)</f>
        <v>27475</v>
      </c>
      <c r="Q17" s="3">
        <f>SUM(OSRRefG14x)</f>
        <v>793453.09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/>
      <c r="J18" s="2">
        <v>52138</v>
      </c>
      <c r="K18" s="2">
        <v>133564</v>
      </c>
      <c r="L18" s="2">
        <v>127913</v>
      </c>
      <c r="M18" s="2">
        <v>133455</v>
      </c>
      <c r="N18" s="2">
        <v>85269</v>
      </c>
      <c r="O18" s="2">
        <v>27475</v>
      </c>
      <c r="Q18" s="2">
        <f>SUM(OSRRefD14_0x)+IFERROR(SUM(OSRRefE14_0x),0)</f>
        <v>559814</v>
      </c>
    </row>
    <row r="19" spans="1:17" s="9" customFormat="1" hidden="1" outlineLevel="1" x14ac:dyDescent="0.3">
      <c r="A19" s="23"/>
      <c r="B19" s="10" t="str">
        <f>CONCATENATE("          ","5053", " - ","PURCHASES @ COST-FOOD")</f>
        <v xml:space="preserve">          5053 - PURCHASES @ COST-FOOD</v>
      </c>
      <c r="C19" s="22"/>
      <c r="D19" s="2">
        <v>8224.3799999999992</v>
      </c>
      <c r="E19" s="2">
        <v>37147.050000000003</v>
      </c>
      <c r="F19" s="2">
        <v>39127.43</v>
      </c>
      <c r="G19" s="2">
        <v>69862.070000000007</v>
      </c>
      <c r="H19" s="2">
        <v>38763.83</v>
      </c>
      <c r="I19" s="2">
        <v>23892.6</v>
      </c>
      <c r="J19" s="2"/>
      <c r="K19" s="2"/>
      <c r="L19" s="2"/>
      <c r="M19" s="2"/>
      <c r="N19" s="2"/>
      <c r="O19" s="2"/>
      <c r="Q19" s="2">
        <f>SUM(OSRRefD14_1x)+IFERROR(SUM(OSRRefE14_1x),0)</f>
        <v>217017.36000000002</v>
      </c>
    </row>
    <row r="20" spans="1:17" s="9" customFormat="1" hidden="1" outlineLevel="1" x14ac:dyDescent="0.3">
      <c r="A20" s="23"/>
      <c r="B20" s="10" t="str">
        <f>CONCATENATE("          ","5059", " - ","PURCHASES @ COST-FOOD")</f>
        <v xml:space="preserve">          5059 - PURCHASES @ COST-FOOD</v>
      </c>
      <c r="C20" s="22"/>
      <c r="D20" s="2">
        <v>-3165</v>
      </c>
      <c r="E20" s="2">
        <v>-23010</v>
      </c>
      <c r="F20" s="2">
        <v>12025.6</v>
      </c>
      <c r="G20" s="2">
        <v>7910.54</v>
      </c>
      <c r="H20" s="2">
        <v>4058.26</v>
      </c>
      <c r="I20" s="2">
        <v>18802.330000000002</v>
      </c>
      <c r="J20" s="2"/>
      <c r="K20" s="2"/>
      <c r="L20" s="2"/>
      <c r="M20" s="2"/>
      <c r="N20" s="2"/>
      <c r="O20" s="2"/>
      <c r="Q20" s="2">
        <f>SUM(OSRRefD14_2x)+IFERROR(SUM(OSRRefE14_2x),0)</f>
        <v>16621.730000000003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7">
        <f t="shared" ref="D22:O22" si="3">IFERROR(+D10-D17, 0)</f>
        <v>14642.929999999998</v>
      </c>
      <c r="E22" s="7">
        <f t="shared" si="3"/>
        <v>38141.719999999994</v>
      </c>
      <c r="F22" s="7">
        <f t="shared" si="3"/>
        <v>79012.37</v>
      </c>
      <c r="G22" s="7">
        <f t="shared" si="3"/>
        <v>102767.44000000002</v>
      </c>
      <c r="H22" s="7">
        <f t="shared" si="3"/>
        <v>59493.779999999992</v>
      </c>
      <c r="I22" s="7">
        <f t="shared" si="3"/>
        <v>61210.94000000001</v>
      </c>
      <c r="J22" s="7">
        <f t="shared" si="3"/>
        <v>99391</v>
      </c>
      <c r="K22" s="7">
        <f t="shared" si="3"/>
        <v>261204</v>
      </c>
      <c r="L22" s="7">
        <f t="shared" si="3"/>
        <v>245816</v>
      </c>
      <c r="M22" s="7">
        <f t="shared" si="3"/>
        <v>252795</v>
      </c>
      <c r="N22" s="7">
        <f t="shared" si="3"/>
        <v>160647</v>
      </c>
      <c r="O22" s="7">
        <f t="shared" si="3"/>
        <v>57101</v>
      </c>
      <c r="Q22" s="7">
        <f>IFERROR(+Q10-Q17, 0)</f>
        <v>1432223.1800000002</v>
      </c>
    </row>
    <row r="23" spans="1:17" s="6" customFormat="1" x14ac:dyDescent="0.3">
      <c r="B23" s="16"/>
      <c r="C23" s="16"/>
      <c r="D23" s="4">
        <f t="shared" ref="D23:O23" si="4">IFERROR(D22/D10, 0)</f>
        <v>0.74320879125341144</v>
      </c>
      <c r="E23" s="4">
        <f t="shared" si="4"/>
        <v>0.72958334712159445</v>
      </c>
      <c r="F23" s="4">
        <f t="shared" si="4"/>
        <v>0.60701515149187113</v>
      </c>
      <c r="G23" s="4">
        <f t="shared" si="4"/>
        <v>0.56922239691414733</v>
      </c>
      <c r="H23" s="4">
        <f t="shared" si="4"/>
        <v>0.5814716719898877</v>
      </c>
      <c r="I23" s="4">
        <f t="shared" si="4"/>
        <v>0.58909992284362767</v>
      </c>
      <c r="J23" s="4">
        <f t="shared" si="4"/>
        <v>0.65592064885269485</v>
      </c>
      <c r="K23" s="4">
        <f t="shared" si="4"/>
        <v>0.66166457260973532</v>
      </c>
      <c r="L23" s="4">
        <f t="shared" si="4"/>
        <v>0.65773862879252076</v>
      </c>
      <c r="M23" s="4">
        <f t="shared" si="4"/>
        <v>0.65448543689320393</v>
      </c>
      <c r="N23" s="4">
        <f t="shared" si="4"/>
        <v>0.65325964963646121</v>
      </c>
      <c r="O23" s="4">
        <f t="shared" si="4"/>
        <v>0.67514424895951575</v>
      </c>
      <c r="P23" s="18"/>
      <c r="Q23" s="4">
        <f>IFERROR(Q22/Q10, 0)</f>
        <v>0.64350022476539237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2">
        <f>SUM(OSRRefD20x_0)</f>
        <v>145851.13</v>
      </c>
      <c r="E25" s="12">
        <f>SUM(OSRRefD20x_1)</f>
        <v>201319.06</v>
      </c>
      <c r="F25" s="12">
        <f>SUM(OSRRefD20x_2)</f>
        <v>173920.11999999997</v>
      </c>
      <c r="G25" s="12">
        <f>SUM(OSRRefD20x_3)</f>
        <v>209534.14999999997</v>
      </c>
      <c r="H25" s="12">
        <f>SUM(OSRRefD20x_4)</f>
        <v>164464.44</v>
      </c>
      <c r="I25" s="12">
        <f>SUM(OSRRefD20x_5)</f>
        <v>179034.32000000004</v>
      </c>
      <c r="J25" s="12">
        <f>SUM(OSRRefE20x_0)</f>
        <v>204844.33344416565</v>
      </c>
      <c r="K25" s="12">
        <f>SUM(OSRRefE20x_1)</f>
        <v>215927.304278503</v>
      </c>
      <c r="L25" s="12">
        <f>SUM(OSRRefE20x_2)</f>
        <v>211217.07392352523</v>
      </c>
      <c r="M25" s="12">
        <f>SUM(OSRRefE20x_3)</f>
        <v>232555.67857415797</v>
      </c>
      <c r="N25" s="12">
        <f>SUM(OSRRefE20x_4)</f>
        <v>192253.49540401262</v>
      </c>
      <c r="O25" s="12">
        <f>SUM(OSRRefE20x_5)</f>
        <v>162444.63287386371</v>
      </c>
      <c r="Q25" s="12">
        <f>SUM(OSRRefG20x)</f>
        <v>2293365.7384982281</v>
      </c>
    </row>
    <row r="26" spans="1:17" s="35" customFormat="1" collapsed="1" x14ac:dyDescent="0.3">
      <c r="A26" s="34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25335.059999999998</v>
      </c>
      <c r="E26" s="1">
        <f>SUM(OSRRefD21_0x_1)</f>
        <v>27914.86</v>
      </c>
      <c r="F26" s="1">
        <f>SUM(OSRRefD21_0x_2)</f>
        <v>28558.69</v>
      </c>
      <c r="G26" s="1">
        <f>SUM(OSRRefD21_0x_3)</f>
        <v>35927.879999999997</v>
      </c>
      <c r="H26" s="1">
        <f>SUM(OSRRefD21_0x_4)</f>
        <v>28911.850000000002</v>
      </c>
      <c r="I26" s="1">
        <f>SUM(OSRRefD21_0x_5)</f>
        <v>31050.93</v>
      </c>
      <c r="J26" s="1">
        <f>SUM(OSRRefE21_0x_0)</f>
        <v>31949.354779165653</v>
      </c>
      <c r="K26" s="1">
        <f>SUM(OSRRefE21_0x_1)</f>
        <v>31781.716078503017</v>
      </c>
      <c r="L26" s="1">
        <f>SUM(OSRRefE21_0x_2)</f>
        <v>30566.730883525222</v>
      </c>
      <c r="M26" s="1">
        <f>SUM(OSRRefE21_0x_3)</f>
        <v>35753.593809157959</v>
      </c>
      <c r="N26" s="1">
        <f>SUM(OSRRefE21_0x_4)</f>
        <v>30458.518384012619</v>
      </c>
      <c r="O26" s="1">
        <f>SUM(OSRRefE21_0x_5)</f>
        <v>29806.68083386372</v>
      </c>
      <c r="Q26" s="2">
        <f>SUM(OSRRefD20_0x)+IFERROR(SUM(OSRRefE20_0x),0)</f>
        <v>368015.86476822814</v>
      </c>
    </row>
    <row r="27" spans="1:17" s="35" customFormat="1" hidden="1" outlineLevel="1" x14ac:dyDescent="0.3">
      <c r="A27" s="34"/>
      <c r="B27" s="10" t="str">
        <f>CONCATENATE("          ","6111", " - ","F.I.C.A.")</f>
        <v xml:space="preserve">          6111 - F.I.C.A.</v>
      </c>
      <c r="C27" s="14"/>
      <c r="D27" s="2">
        <v>3198.56</v>
      </c>
      <c r="E27" s="2">
        <v>4256.6000000000004</v>
      </c>
      <c r="F27" s="2">
        <v>4304.3900000000003</v>
      </c>
      <c r="G27" s="2">
        <v>6021.07</v>
      </c>
      <c r="H27" s="2">
        <v>3988.72</v>
      </c>
      <c r="I27" s="2">
        <v>4623.21</v>
      </c>
      <c r="J27" s="2">
        <v>4295.3860650117804</v>
      </c>
      <c r="K27" s="2">
        <v>3913.87440696461</v>
      </c>
      <c r="L27" s="2">
        <v>3693.8873301406102</v>
      </c>
      <c r="M27" s="2">
        <v>4726.7787873117804</v>
      </c>
      <c r="N27" s="2">
        <v>3835.1649550126099</v>
      </c>
      <c r="O27" s="2">
        <v>3540.0589689406102</v>
      </c>
      <c r="P27" s="9"/>
      <c r="Q27" s="2">
        <f>SUM(OSRRefD21_0_0x)+IFERROR(SUM(OSRRefE21_0_0x),0)</f>
        <v>50397.700513382006</v>
      </c>
    </row>
    <row r="28" spans="1:17" s="35" customFormat="1" hidden="1" outlineLevel="1" x14ac:dyDescent="0.3">
      <c r="A28" s="34"/>
      <c r="B28" s="10" t="str">
        <f>CONCATENATE("          ","6112", " - ","COMPENSATION INSURANCE")</f>
        <v xml:space="preserve">          6112 - COMPENSATION INSURANCE</v>
      </c>
      <c r="C28" s="14"/>
      <c r="D28" s="2">
        <v>1106.6199999999999</v>
      </c>
      <c r="E28" s="2">
        <v>1592.23</v>
      </c>
      <c r="F28" s="2">
        <v>2167.5</v>
      </c>
      <c r="G28" s="2">
        <v>3095.01</v>
      </c>
      <c r="H28" s="2">
        <v>1951.33</v>
      </c>
      <c r="I28" s="2">
        <v>2281.1</v>
      </c>
      <c r="J28" s="2">
        <v>3247.7672366761599</v>
      </c>
      <c r="K28" s="2">
        <v>3630.3646839769199</v>
      </c>
      <c r="L28" s="2">
        <v>3435.2046676569198</v>
      </c>
      <c r="M28" s="2">
        <v>4114.6744026761598</v>
      </c>
      <c r="N28" s="2">
        <v>3111.1263118669199</v>
      </c>
      <c r="O28" s="2">
        <v>2306.6535251569198</v>
      </c>
      <c r="P28" s="9"/>
      <c r="Q28" s="2">
        <f>SUM(OSRRefD21_0_1x)+IFERROR(SUM(OSRRefE21_0_1x),0)</f>
        <v>32039.580828009999</v>
      </c>
    </row>
    <row r="29" spans="1:17" s="35" customFormat="1" hidden="1" outlineLevel="1" x14ac:dyDescent="0.3">
      <c r="A29" s="34"/>
      <c r="B29" s="10" t="str">
        <f>CONCATENATE("          ","6113", " - ","GROUP INSURANCE")</f>
        <v xml:space="preserve">          6113 - GROUP INSURANCE</v>
      </c>
      <c r="C29" s="14"/>
      <c r="D29" s="2">
        <v>11932.59</v>
      </c>
      <c r="E29" s="2">
        <v>12571.09</v>
      </c>
      <c r="F29" s="2">
        <v>12646.1</v>
      </c>
      <c r="G29" s="2">
        <v>12571.1</v>
      </c>
      <c r="H29" s="2">
        <v>12571.1</v>
      </c>
      <c r="I29" s="2">
        <v>12639.58</v>
      </c>
      <c r="J29" s="2">
        <v>14056.7076923077</v>
      </c>
      <c r="K29" s="2">
        <v>14850.461538461501</v>
      </c>
      <c r="L29" s="2">
        <v>14056.7076923077</v>
      </c>
      <c r="M29" s="2">
        <v>15708</v>
      </c>
      <c r="N29" s="2">
        <v>14576.723076923099</v>
      </c>
      <c r="O29" s="2">
        <v>15498.0461538462</v>
      </c>
      <c r="P29" s="9"/>
      <c r="Q29" s="2">
        <f>SUM(OSRRefD21_0_2x)+IFERROR(SUM(OSRRefE21_0_2x),0)</f>
        <v>163678.20615384617</v>
      </c>
    </row>
    <row r="30" spans="1:17" s="35" customFormat="1" hidden="1" outlineLevel="1" x14ac:dyDescent="0.3">
      <c r="A30" s="34"/>
      <c r="B30" s="10" t="str">
        <f>CONCATENATE("          ","6114", " - ","STATE UNEMPLOYMENT INSURANCE")</f>
        <v xml:space="preserve">          6114 - STATE UNEMPLOYMENT INSURANCE</v>
      </c>
      <c r="C30" s="14"/>
      <c r="D30" s="2">
        <v>108.7</v>
      </c>
      <c r="E30" s="2">
        <v>143.97</v>
      </c>
      <c r="F30" s="2">
        <v>186.82</v>
      </c>
      <c r="G30" s="2">
        <v>267.12</v>
      </c>
      <c r="H30" s="2">
        <v>171.05</v>
      </c>
      <c r="I30" s="2">
        <v>194.61</v>
      </c>
      <c r="J30" s="2">
        <v>179.955440554615</v>
      </c>
      <c r="K30" s="2">
        <v>201.15477140769201</v>
      </c>
      <c r="L30" s="2">
        <v>190.34115572769201</v>
      </c>
      <c r="M30" s="2">
        <v>227.989874554615</v>
      </c>
      <c r="N30" s="2">
        <v>172.38430751769201</v>
      </c>
      <c r="O30" s="2">
        <v>127.809298227692</v>
      </c>
      <c r="P30" s="9"/>
      <c r="Q30" s="2">
        <f>SUM(OSRRefD21_0_3x)+IFERROR(SUM(OSRRefE21_0_3x),0)</f>
        <v>2171.904847989998</v>
      </c>
    </row>
    <row r="31" spans="1:17" s="35" customFormat="1" hidden="1" outlineLevel="1" x14ac:dyDescent="0.3">
      <c r="A31" s="34"/>
      <c r="B31" s="10" t="str">
        <f>CONCATENATE("          ","6115", " - ","P.E.R.S.")</f>
        <v xml:space="preserve">          6115 - P.E.R.S.</v>
      </c>
      <c r="C31" s="14"/>
      <c r="D31" s="2">
        <v>2989.03</v>
      </c>
      <c r="E31" s="2">
        <v>3152.51</v>
      </c>
      <c r="F31" s="2">
        <v>3152.51</v>
      </c>
      <c r="G31" s="2">
        <v>4728.7700000000004</v>
      </c>
      <c r="H31" s="2">
        <v>3325.3</v>
      </c>
      <c r="I31" s="2">
        <v>3682.62</v>
      </c>
      <c r="J31" s="2">
        <v>3501.5529288461598</v>
      </c>
      <c r="K31" s="2">
        <v>2801.24234307692</v>
      </c>
      <c r="L31" s="2">
        <v>2801.24234307692</v>
      </c>
      <c r="M31" s="2">
        <v>3501.5529288461598</v>
      </c>
      <c r="N31" s="2">
        <v>2801.24234307692</v>
      </c>
      <c r="O31" s="2">
        <v>2801.24234307692</v>
      </c>
      <c r="P31" s="9"/>
      <c r="Q31" s="2">
        <f>SUM(OSRRefD21_0_4x)+IFERROR(SUM(OSRRefE21_0_4x),0)</f>
        <v>39238.81523</v>
      </c>
    </row>
    <row r="32" spans="1:17" s="35" customFormat="1" hidden="1" outlineLevel="1" x14ac:dyDescent="0.3">
      <c r="A32" s="34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2954.94</v>
      </c>
      <c r="E33" s="2">
        <v>2973.5</v>
      </c>
      <c r="F33" s="2">
        <v>2982.74</v>
      </c>
      <c r="G33" s="2">
        <v>4487.97</v>
      </c>
      <c r="H33" s="2">
        <v>3268.5</v>
      </c>
      <c r="I33" s="2">
        <v>3447.32</v>
      </c>
      <c r="J33" s="2">
        <v>2946.59694638462</v>
      </c>
      <c r="K33" s="2">
        <v>2467.1208723076902</v>
      </c>
      <c r="L33" s="2">
        <v>2423.4102483076899</v>
      </c>
      <c r="M33" s="2">
        <v>3037.74174638462</v>
      </c>
      <c r="N33" s="2">
        <v>2452.1257203076898</v>
      </c>
      <c r="O33" s="2">
        <v>2503.2834483076899</v>
      </c>
      <c r="P33" s="9"/>
      <c r="Q33" s="2">
        <f>SUM(OSRRefD21_0_6x)+IFERROR(SUM(OSRRefE21_0_6x),0)</f>
        <v>35945.248981999997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1898.78</v>
      </c>
      <c r="E34" s="2">
        <v>1911.66</v>
      </c>
      <c r="F34" s="2">
        <v>1922.83</v>
      </c>
      <c r="G34" s="2">
        <v>2900.7</v>
      </c>
      <c r="H34" s="2">
        <v>2122.29</v>
      </c>
      <c r="I34" s="2">
        <v>2396.88</v>
      </c>
      <c r="J34" s="2">
        <v>1576.3884693846201</v>
      </c>
      <c r="K34" s="2">
        <v>1956.4974623076901</v>
      </c>
      <c r="L34" s="2">
        <v>1844.9374463076899</v>
      </c>
      <c r="M34" s="2">
        <v>2091.8560693846198</v>
      </c>
      <c r="N34" s="2">
        <v>1548.75166930769</v>
      </c>
      <c r="O34" s="2">
        <v>1084.58709630769</v>
      </c>
      <c r="P34" s="9"/>
      <c r="Q34" s="2">
        <f>SUM(OSRRefD21_0_7x)+IFERROR(SUM(OSRRefE21_0_7x),0)</f>
        <v>23256.158213000002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1145.8399999999999</v>
      </c>
      <c r="E35" s="2">
        <v>1313.3</v>
      </c>
      <c r="F35" s="2">
        <v>1195.8</v>
      </c>
      <c r="G35" s="2">
        <v>1856.14</v>
      </c>
      <c r="H35" s="2">
        <v>1513.56</v>
      </c>
      <c r="I35" s="2">
        <v>1785.61</v>
      </c>
      <c r="J35" s="2">
        <v>2145</v>
      </c>
      <c r="K35" s="2">
        <v>1961</v>
      </c>
      <c r="L35" s="2">
        <v>2121</v>
      </c>
      <c r="M35" s="2">
        <v>2345</v>
      </c>
      <c r="N35" s="2">
        <v>1961</v>
      </c>
      <c r="O35" s="2">
        <v>1945</v>
      </c>
      <c r="P35" s="9"/>
      <c r="Q35" s="2">
        <f>SUM(OSRRefD21_0_8x)+IFERROR(SUM(OSRRefE21_0_8x),0)</f>
        <v>21288.25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52602.950000000004</v>
      </c>
      <c r="E36" s="1">
        <f>SUM(OSRRefD21_1x_1)</f>
        <v>58909.710000000006</v>
      </c>
      <c r="F36" s="1">
        <f>SUM(OSRRefD21_1x_2)</f>
        <v>68785.56</v>
      </c>
      <c r="G36" s="1">
        <f>SUM(OSRRefD21_1x_3)</f>
        <v>80221</v>
      </c>
      <c r="H36" s="1">
        <f>SUM(OSRRefD21_1x_4)</f>
        <v>61290.879999999997</v>
      </c>
      <c r="I36" s="1">
        <f>SUM(OSRRefD21_1x_5)</f>
        <v>69071.39</v>
      </c>
      <c r="J36" s="1">
        <f>SUM(OSRRefE21_1x_0)</f>
        <v>81265.978665000002</v>
      </c>
      <c r="K36" s="1">
        <f>SUM(OSRRefE21_1x_1)</f>
        <v>91483.588199999998</v>
      </c>
      <c r="L36" s="1">
        <f>SUM(OSRRefE21_1x_2)</f>
        <v>86475.343039999992</v>
      </c>
      <c r="M36" s="1">
        <f>SUM(OSRRefE21_1x_3)</f>
        <v>103603.08476500001</v>
      </c>
      <c r="N36" s="1">
        <f>SUM(OSRRefE21_1x_4)</f>
        <v>78206.977019999991</v>
      </c>
      <c r="O36" s="1">
        <f>SUM(OSRRefE21_1x_5)</f>
        <v>57298.952039999996</v>
      </c>
      <c r="Q36" s="2">
        <f>SUM(OSRRefD20_1x)+IFERROR(SUM(OSRRefE20_1x),0)</f>
        <v>889215.41373000003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>
        <v>13836.28</v>
      </c>
      <c r="E37" s="2">
        <v>8855.42</v>
      </c>
      <c r="F37" s="2">
        <v>10515.82</v>
      </c>
      <c r="G37" s="2">
        <v>10516.14</v>
      </c>
      <c r="H37" s="2">
        <v>9209.65</v>
      </c>
      <c r="I37" s="2">
        <v>10936.46</v>
      </c>
      <c r="J37" s="2">
        <v>12835.384615384601</v>
      </c>
      <c r="K37" s="2">
        <v>10268.307692307701</v>
      </c>
      <c r="L37" s="2">
        <v>10268.307692307701</v>
      </c>
      <c r="M37" s="2">
        <v>12835.384615384601</v>
      </c>
      <c r="N37" s="2">
        <v>10268.307692307701</v>
      </c>
      <c r="O37" s="2">
        <v>10268.307692307701</v>
      </c>
      <c r="P37" s="9"/>
      <c r="Q37" s="2">
        <f>SUM(OSRRefD21_1_0x)+IFERROR(SUM(OSRRefE21_1_0x),0)</f>
        <v>130613.77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23724.02</v>
      </c>
      <c r="E38" s="2">
        <v>20808.45</v>
      </c>
      <c r="F38" s="2">
        <v>19952.88</v>
      </c>
      <c r="G38" s="2">
        <v>25037.65</v>
      </c>
      <c r="H38" s="2">
        <v>21413.4</v>
      </c>
      <c r="I38" s="2">
        <v>24011.85</v>
      </c>
      <c r="J38" s="2">
        <v>24735.329759615401</v>
      </c>
      <c r="K38" s="2">
        <v>19788.263807692299</v>
      </c>
      <c r="L38" s="2">
        <v>19788.263807692299</v>
      </c>
      <c r="M38" s="2">
        <v>24735.329759615401</v>
      </c>
      <c r="N38" s="2">
        <v>19788.263807692299</v>
      </c>
      <c r="O38" s="2">
        <v>19788.263807692299</v>
      </c>
      <c r="P38" s="9"/>
      <c r="Q38" s="2">
        <f>SUM(OSRRefD21_1_1x)+IFERROR(SUM(OSRRefE21_1_1x),0)</f>
        <v>263571.96475000004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7726.26</v>
      </c>
      <c r="E40" s="2">
        <v>8001.1</v>
      </c>
      <c r="F40" s="2">
        <v>9010.67</v>
      </c>
      <c r="G40" s="2">
        <v>11612.94</v>
      </c>
      <c r="H40" s="2">
        <v>9039.24</v>
      </c>
      <c r="I40" s="2">
        <v>10196.1</v>
      </c>
      <c r="J40" s="2">
        <v>13400.50944</v>
      </c>
      <c r="K40" s="2">
        <v>16485.679199999999</v>
      </c>
      <c r="L40" s="2">
        <v>13684.00944</v>
      </c>
      <c r="M40" s="2">
        <v>18885.511439999998</v>
      </c>
      <c r="N40" s="2">
        <v>15002.83272</v>
      </c>
      <c r="O40" s="2">
        <v>13000.327439999999</v>
      </c>
      <c r="P40" s="9"/>
      <c r="Q40" s="2">
        <f>SUM(OSRRefD21_1_3x)+IFERROR(SUM(OSRRefE21_1_3x),0)</f>
        <v>146045.17968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3353.39</v>
      </c>
      <c r="E41" s="2">
        <v>8869.26</v>
      </c>
      <c r="F41" s="2">
        <v>14430.67</v>
      </c>
      <c r="G41" s="2">
        <v>17018.73</v>
      </c>
      <c r="H41" s="2">
        <v>7818.74</v>
      </c>
      <c r="I41" s="2">
        <v>10986.73</v>
      </c>
      <c r="J41" s="2">
        <v>8331.2232999999997</v>
      </c>
      <c r="K41" s="2">
        <v>13448.070299999999</v>
      </c>
      <c r="L41" s="2">
        <v>12499.94865</v>
      </c>
      <c r="M41" s="2">
        <v>12853.3536</v>
      </c>
      <c r="N41" s="2">
        <v>11265.885550000001</v>
      </c>
      <c r="O41" s="2">
        <v>11716.8531</v>
      </c>
      <c r="P41" s="9"/>
      <c r="Q41" s="2">
        <f>SUM(OSRRefD21_1_4x)+IFERROR(SUM(OSRRefE21_1_4x),0)</f>
        <v>132592.85450000002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3963</v>
      </c>
      <c r="E43" s="2">
        <v>12375.48</v>
      </c>
      <c r="F43" s="2">
        <v>14875.52</v>
      </c>
      <c r="G43" s="2">
        <v>16035.54</v>
      </c>
      <c r="H43" s="2">
        <v>13809.85</v>
      </c>
      <c r="I43" s="2">
        <v>12940.25</v>
      </c>
      <c r="J43" s="2">
        <v>1415.6956</v>
      </c>
      <c r="K43" s="2">
        <v>1415.6956</v>
      </c>
      <c r="L43" s="2">
        <v>1415.6956</v>
      </c>
      <c r="M43" s="2">
        <v>1415.6956</v>
      </c>
      <c r="N43" s="2">
        <v>1895.0555999999999</v>
      </c>
      <c r="O43" s="2">
        <v>0</v>
      </c>
      <c r="P43" s="9"/>
      <c r="Q43" s="2">
        <f>SUM(OSRRefD21_1_6x)+IFERROR(SUM(OSRRefE21_1_6x),0)</f>
        <v>81557.478000000003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/>
      <c r="H44" s="2"/>
      <c r="I44" s="2"/>
      <c r="J44" s="2">
        <v>20547.835950000001</v>
      </c>
      <c r="K44" s="2">
        <v>30077.571599999999</v>
      </c>
      <c r="L44" s="2">
        <v>28819.117849999999</v>
      </c>
      <c r="M44" s="2">
        <v>32877.80975</v>
      </c>
      <c r="N44" s="2">
        <v>19986.631649999999</v>
      </c>
      <c r="O44" s="2">
        <v>2525.1999999999998</v>
      </c>
      <c r="P44" s="9"/>
      <c r="Q44" s="2">
        <f>SUM(OSRRefD21_1_7x)+IFERROR(SUM(OSRRefE21_1_7x),0)</f>
        <v>134834.16680000001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424.79</v>
      </c>
      <c r="E47" s="1">
        <f>SUM(OSRRefD21_2x_1)</f>
        <v>47.5</v>
      </c>
      <c r="F47" s="1">
        <f>SUM(OSRRefD21_2x_2)</f>
        <v>200.77</v>
      </c>
      <c r="G47" s="1">
        <f>SUM(OSRRefD21_2x_3)</f>
        <v>50.23</v>
      </c>
      <c r="H47" s="1">
        <f>SUM(OSRRefD21_2x_4)</f>
        <v>146.54</v>
      </c>
      <c r="I47" s="1">
        <f>SUM(OSRRefD21_2x_5)</f>
        <v>43.53</v>
      </c>
      <c r="J47" s="1">
        <f>SUM(OSRRefE21_2x_0)</f>
        <v>0</v>
      </c>
      <c r="K47" s="1">
        <f>SUM(OSRRefE21_2x_1)</f>
        <v>0</v>
      </c>
      <c r="L47" s="1">
        <f>SUM(OSRRefE21_2x_2)</f>
        <v>0</v>
      </c>
      <c r="M47" s="1">
        <f>SUM(OSRRefE21_2x_3)</f>
        <v>0</v>
      </c>
      <c r="N47" s="1">
        <f>SUM(OSRRefE21_2x_4)</f>
        <v>0</v>
      </c>
      <c r="O47" s="1">
        <f>SUM(OSRRefE21_2x_5)</f>
        <v>0</v>
      </c>
      <c r="Q47" s="2">
        <f>SUM(OSRRefD20_2x)+IFERROR(SUM(OSRRefE20_2x),0)</f>
        <v>913.36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424.79</v>
      </c>
      <c r="E48" s="2">
        <v>47.5</v>
      </c>
      <c r="F48" s="2">
        <v>200.77</v>
      </c>
      <c r="G48" s="2">
        <v>50.23</v>
      </c>
      <c r="H48" s="2">
        <v>146.54</v>
      </c>
      <c r="I48" s="2">
        <v>43.53</v>
      </c>
      <c r="J48" s="2"/>
      <c r="K48" s="2"/>
      <c r="L48" s="2"/>
      <c r="M48" s="2"/>
      <c r="N48" s="2"/>
      <c r="O48" s="2"/>
      <c r="P48" s="9"/>
      <c r="Q48" s="2">
        <f>SUM(OSRRefD21_2_0x)+IFERROR(SUM(OSRRefE21_2_0x),0)</f>
        <v>913.36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-19.02</v>
      </c>
      <c r="E49" s="1">
        <f>SUM(OSRRefD21_3x_1)</f>
        <v>-88.22</v>
      </c>
      <c r="F49" s="1">
        <f>SUM(OSRRefD21_3x_2)</f>
        <v>-8.0500000000000007</v>
      </c>
      <c r="G49" s="1">
        <f>SUM(OSRRefD21_3x_3)</f>
        <v>4.1900000000000004</v>
      </c>
      <c r="H49" s="1">
        <f>SUM(OSRRefD21_3x_4)</f>
        <v>4.1900000000000004</v>
      </c>
      <c r="I49" s="1">
        <f>SUM(OSRRefD21_3x_5)</f>
        <v>26</v>
      </c>
      <c r="J49" s="1">
        <f>SUM(OSRRefE21_3x_0)</f>
        <v>0</v>
      </c>
      <c r="K49" s="1">
        <f>SUM(OSRRefE21_3x_1)</f>
        <v>10</v>
      </c>
      <c r="L49" s="1">
        <f>SUM(OSRRefE21_3x_2)</f>
        <v>0</v>
      </c>
      <c r="M49" s="1">
        <f>SUM(OSRRefE21_3x_3)</f>
        <v>10</v>
      </c>
      <c r="N49" s="1">
        <f>SUM(OSRRefE21_3x_4)</f>
        <v>0</v>
      </c>
      <c r="O49" s="1">
        <f>SUM(OSRRefE21_3x_5)</f>
        <v>10</v>
      </c>
      <c r="Q49" s="2">
        <f>SUM(OSRRefD20_3x)+IFERROR(SUM(OSRRefE20_3x),0)</f>
        <v>-50.91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>
        <v>-19.02</v>
      </c>
      <c r="E50" s="2">
        <v>-88.22</v>
      </c>
      <c r="F50" s="2">
        <v>-8.0500000000000007</v>
      </c>
      <c r="G50" s="2">
        <v>4.1900000000000004</v>
      </c>
      <c r="H50" s="2">
        <v>4.1900000000000004</v>
      </c>
      <c r="I50" s="2">
        <v>26</v>
      </c>
      <c r="J50" s="2"/>
      <c r="K50" s="2">
        <v>10</v>
      </c>
      <c r="L50" s="2"/>
      <c r="M50" s="2">
        <v>10</v>
      </c>
      <c r="N50" s="2"/>
      <c r="O50" s="2">
        <v>10</v>
      </c>
      <c r="P50" s="9"/>
      <c r="Q50" s="2">
        <f>SUM(OSRRefD21_3_0x)+IFERROR(SUM(OSRRefE21_3_0x),0)</f>
        <v>-50.91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933.25</v>
      </c>
      <c r="E51" s="1">
        <f>SUM(OSRRefD21_4x_1)</f>
        <v>2341.4699999999998</v>
      </c>
      <c r="F51" s="1">
        <f>SUM(OSRRefD21_4x_2)</f>
        <v>4771.99</v>
      </c>
      <c r="G51" s="1">
        <f>SUM(OSRRefD21_4x_3)</f>
        <v>6282.4</v>
      </c>
      <c r="H51" s="1">
        <f>SUM(OSRRefD21_4x_4)</f>
        <v>4350.6899999999996</v>
      </c>
      <c r="I51" s="1">
        <f>SUM(OSRRefD21_4x_5)</f>
        <v>3870.06</v>
      </c>
      <c r="J51" s="1">
        <f>SUM(OSRRefE21_4x_0)</f>
        <v>7303</v>
      </c>
      <c r="K51" s="1">
        <f>SUM(OSRRefE21_4x_1)</f>
        <v>17875</v>
      </c>
      <c r="L51" s="1">
        <f>SUM(OSRRefE21_4x_2)</f>
        <v>16912</v>
      </c>
      <c r="M51" s="1">
        <f>SUM(OSRRefE21_4x_3)</f>
        <v>17370</v>
      </c>
      <c r="N51" s="1">
        <f>SUM(OSRRefE21_4x_4)</f>
        <v>11317</v>
      </c>
      <c r="O51" s="1">
        <f>SUM(OSRRefE21_4x_5)</f>
        <v>4464</v>
      </c>
      <c r="Q51" s="2">
        <f>SUM(OSRRefD20_4x)+IFERROR(SUM(OSRRefE20_4x),0)</f>
        <v>97790.86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933.25</v>
      </c>
      <c r="E52" s="2">
        <v>2341.4699999999998</v>
      </c>
      <c r="F52" s="2">
        <v>4771.99</v>
      </c>
      <c r="G52" s="2">
        <v>6282.4</v>
      </c>
      <c r="H52" s="2">
        <v>4350.6899999999996</v>
      </c>
      <c r="I52" s="2">
        <v>3870.06</v>
      </c>
      <c r="J52" s="2">
        <v>7303</v>
      </c>
      <c r="K52" s="2">
        <v>17875</v>
      </c>
      <c r="L52" s="2">
        <v>16912</v>
      </c>
      <c r="M52" s="2">
        <v>17370</v>
      </c>
      <c r="N52" s="2">
        <v>11317</v>
      </c>
      <c r="O52" s="2">
        <v>4464</v>
      </c>
      <c r="P52" s="9"/>
      <c r="Q52" s="2">
        <f>SUM(OSRRefD21_4_0x)+IFERROR(SUM(OSRRefE21_4_0x),0)</f>
        <v>97790.86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32826.11</v>
      </c>
      <c r="E53" s="1">
        <f>SUM(OSRRefD21_5x_1)</f>
        <v>32826.11</v>
      </c>
      <c r="F53" s="1">
        <f>SUM(OSRRefD21_5x_2)</f>
        <v>32782.04</v>
      </c>
      <c r="G53" s="1">
        <f>SUM(OSRRefD21_5x_3)</f>
        <v>32782.04</v>
      </c>
      <c r="H53" s="1">
        <f>SUM(OSRRefD21_5x_4)</f>
        <v>32782.04</v>
      </c>
      <c r="I53" s="1">
        <f>SUM(OSRRefD21_5x_5)</f>
        <v>32782.04</v>
      </c>
      <c r="J53" s="1">
        <f>SUM(OSRRefE21_5x_0)</f>
        <v>32783</v>
      </c>
      <c r="K53" s="1">
        <f>SUM(OSRRefE21_5x_1)</f>
        <v>32783</v>
      </c>
      <c r="L53" s="1">
        <f>SUM(OSRRefE21_5x_2)</f>
        <v>32208</v>
      </c>
      <c r="M53" s="1">
        <f>SUM(OSRRefE21_5x_3)</f>
        <v>32208</v>
      </c>
      <c r="N53" s="1">
        <f>SUM(OSRRefE21_5x_4)</f>
        <v>32208</v>
      </c>
      <c r="O53" s="1">
        <f>SUM(OSRRefE21_5x_5)</f>
        <v>32208</v>
      </c>
      <c r="Q53" s="2">
        <f>SUM(OSRRefD20_5x)+IFERROR(SUM(OSRRefE20_5x),0)</f>
        <v>391178.38</v>
      </c>
    </row>
    <row r="54" spans="1:17" s="35" customFormat="1" hidden="1" outlineLevel="1" x14ac:dyDescent="0.3">
      <c r="A54" s="34"/>
      <c r="B54" s="10" t="str">
        <f>CONCATENATE("          ","6321", " - ","BUILDING DEPRECIATION")</f>
        <v xml:space="preserve">          6321 - BUILDING DEPRECIATION</v>
      </c>
      <c r="C54" s="14"/>
      <c r="D54" s="2">
        <v>23583.47</v>
      </c>
      <c r="E54" s="2">
        <v>23583.47</v>
      </c>
      <c r="F54" s="2">
        <v>23539.4</v>
      </c>
      <c r="G54" s="2">
        <v>23539.4</v>
      </c>
      <c r="H54" s="2">
        <v>23539.4</v>
      </c>
      <c r="I54" s="2">
        <v>23539.4</v>
      </c>
      <c r="J54" s="2"/>
      <c r="K54" s="2"/>
      <c r="L54" s="2"/>
      <c r="M54" s="2"/>
      <c r="N54" s="2"/>
      <c r="O54" s="2"/>
      <c r="P54" s="9"/>
      <c r="Q54" s="2">
        <f>SUM(OSRRefD21_5_0x)+IFERROR(SUM(OSRRefE21_5_0x),0)</f>
        <v>141324.53999999998</v>
      </c>
    </row>
    <row r="55" spans="1:17" s="35" customFormat="1" hidden="1" outlineLevel="1" x14ac:dyDescent="0.3">
      <c r="A55" s="34"/>
      <c r="B55" s="10" t="str">
        <f>CONCATENATE("          ","6322", " - ","EQUIPMENT DEPRECIATION EXPENSE")</f>
        <v xml:space="preserve">          6322 - EQUIPMENT DEPRECIATION EXPENSE</v>
      </c>
      <c r="C55" s="14"/>
      <c r="D55" s="2">
        <v>9242.64</v>
      </c>
      <c r="E55" s="2">
        <v>9242.64</v>
      </c>
      <c r="F55" s="2">
        <v>9242.64</v>
      </c>
      <c r="G55" s="2">
        <v>9242.64</v>
      </c>
      <c r="H55" s="2">
        <v>9242.64</v>
      </c>
      <c r="I55" s="2">
        <v>9242.64</v>
      </c>
      <c r="J55" s="2">
        <v>32783</v>
      </c>
      <c r="K55" s="2">
        <v>32783</v>
      </c>
      <c r="L55" s="2">
        <v>32208</v>
      </c>
      <c r="M55" s="2">
        <v>32208</v>
      </c>
      <c r="N55" s="2">
        <v>32208</v>
      </c>
      <c r="O55" s="2">
        <v>32208</v>
      </c>
      <c r="P55" s="9"/>
      <c r="Q55" s="2">
        <f>SUM(OSRRefD21_5_1x)+IFERROR(SUM(OSRRefE21_5_1x),0)</f>
        <v>249853.84</v>
      </c>
    </row>
    <row r="56" spans="1:17" s="35" customFormat="1" collapsed="1" x14ac:dyDescent="0.3">
      <c r="A56" s="34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SUM(OSRRefD21_6x_0)</f>
        <v>0</v>
      </c>
      <c r="E56" s="1">
        <f>SUM(OSRRefD21_6x_1)</f>
        <v>18</v>
      </c>
      <c r="F56" s="1">
        <f>SUM(OSRRefD21_6x_2)</f>
        <v>0</v>
      </c>
      <c r="G56" s="1">
        <f>SUM(OSRRefD21_6x_3)</f>
        <v>123.17</v>
      </c>
      <c r="H56" s="1">
        <f>SUM(OSRRefD21_6x_4)</f>
        <v>0</v>
      </c>
      <c r="I56" s="1">
        <f>SUM(OSRRefD21_6x_5)</f>
        <v>173.7</v>
      </c>
      <c r="J56" s="1">
        <f>SUM(OSRRefE21_6x_0)</f>
        <v>20</v>
      </c>
      <c r="K56" s="1">
        <f>SUM(OSRRefE21_6x_1)</f>
        <v>0</v>
      </c>
      <c r="L56" s="1">
        <f>SUM(OSRRefE21_6x_2)</f>
        <v>40</v>
      </c>
      <c r="M56" s="1">
        <f>SUM(OSRRefE21_6x_3)</f>
        <v>20</v>
      </c>
      <c r="N56" s="1">
        <f>SUM(OSRRefE21_6x_4)</f>
        <v>90</v>
      </c>
      <c r="O56" s="1">
        <f>SUM(OSRRefE21_6x_5)</f>
        <v>0</v>
      </c>
      <c r="Q56" s="2">
        <f>SUM(OSRRefD20_6x)+IFERROR(SUM(OSRRefE20_6x),0)</f>
        <v>484.87</v>
      </c>
    </row>
    <row r="57" spans="1:17" s="35" customFormat="1" hidden="1" outlineLevel="1" x14ac:dyDescent="0.3">
      <c r="A57" s="34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18</v>
      </c>
      <c r="F57" s="2"/>
      <c r="G57" s="2">
        <v>123.17</v>
      </c>
      <c r="H57" s="2"/>
      <c r="I57" s="2">
        <v>173.7</v>
      </c>
      <c r="J57" s="2">
        <v>20</v>
      </c>
      <c r="K57" s="2"/>
      <c r="L57" s="2">
        <v>40</v>
      </c>
      <c r="M57" s="2">
        <v>20</v>
      </c>
      <c r="N57" s="2">
        <v>90</v>
      </c>
      <c r="O57" s="2"/>
      <c r="P57" s="9"/>
      <c r="Q57" s="2">
        <f>SUM(OSRRefD21_6_0x)+IFERROR(SUM(OSRRefE21_6_0x),0)</f>
        <v>484.87</v>
      </c>
    </row>
    <row r="58" spans="1:17" s="35" customFormat="1" collapsed="1" x14ac:dyDescent="0.3">
      <c r="A58" s="34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SUM(OSRRefD21_7x_0)</f>
        <v>467.93</v>
      </c>
      <c r="E58" s="1">
        <f>SUM(OSRRefD21_7x_1)</f>
        <v>1239.52</v>
      </c>
      <c r="F58" s="1">
        <f>SUM(OSRRefD21_7x_2)</f>
        <v>91.26</v>
      </c>
      <c r="G58" s="1">
        <f>SUM(OSRRefD21_7x_3)</f>
        <v>1125.7</v>
      </c>
      <c r="H58" s="1">
        <f>SUM(OSRRefD21_7x_4)</f>
        <v>726.98</v>
      </c>
      <c r="I58" s="1">
        <f>SUM(OSRRefD21_7x_5)</f>
        <v>1716.76</v>
      </c>
      <c r="J58" s="1">
        <f>SUM(OSRRefE21_7x_0)</f>
        <v>775</v>
      </c>
      <c r="K58" s="1">
        <f>SUM(OSRRefE21_7x_1)</f>
        <v>775</v>
      </c>
      <c r="L58" s="1">
        <f>SUM(OSRRefE21_7x_2)</f>
        <v>775</v>
      </c>
      <c r="M58" s="1">
        <f>SUM(OSRRefE21_7x_3)</f>
        <v>775</v>
      </c>
      <c r="N58" s="1">
        <f>SUM(OSRRefE21_7x_4)</f>
        <v>775</v>
      </c>
      <c r="O58" s="1">
        <f>SUM(OSRRefE21_7x_5)</f>
        <v>775</v>
      </c>
      <c r="Q58" s="2">
        <f>SUM(OSRRefD20_7x)+IFERROR(SUM(OSRRefE20_7x),0)</f>
        <v>10018.15</v>
      </c>
    </row>
    <row r="59" spans="1:17" s="35" customFormat="1" hidden="1" outlineLevel="1" x14ac:dyDescent="0.3">
      <c r="A59" s="34"/>
      <c r="B59" s="10" t="str">
        <f>CONCATENATE("          ","6351", " - ","EQUIPMENT RENTAL")</f>
        <v xml:space="preserve">          6351 - EQUIPMENT RENTAL</v>
      </c>
      <c r="C59" s="14"/>
      <c r="D59" s="2">
        <v>467.93</v>
      </c>
      <c r="E59" s="2">
        <v>1239.52</v>
      </c>
      <c r="F59" s="2">
        <v>91.26</v>
      </c>
      <c r="G59" s="2">
        <v>1125.7</v>
      </c>
      <c r="H59" s="2">
        <v>726.98</v>
      </c>
      <c r="I59" s="2">
        <v>1716.76</v>
      </c>
      <c r="J59" s="2">
        <v>775</v>
      </c>
      <c r="K59" s="2">
        <v>775</v>
      </c>
      <c r="L59" s="2">
        <v>775</v>
      </c>
      <c r="M59" s="2">
        <v>775</v>
      </c>
      <c r="N59" s="2">
        <v>775</v>
      </c>
      <c r="O59" s="2">
        <v>775</v>
      </c>
      <c r="P59" s="9"/>
      <c r="Q59" s="2">
        <f>SUM(OSRRefD21_7_0x)+IFERROR(SUM(OSRRefE21_7_0x),0)</f>
        <v>10018.15</v>
      </c>
    </row>
    <row r="60" spans="1:17" s="35" customFormat="1" collapsed="1" x14ac:dyDescent="0.3">
      <c r="A60" s="34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SUM(OSRRefD21_8x_0)</f>
        <v>165.28</v>
      </c>
      <c r="E60" s="1">
        <f>SUM(OSRRefD21_8x_1)</f>
        <v>12156.93</v>
      </c>
      <c r="F60" s="1">
        <f>SUM(OSRRefD21_8x_2)</f>
        <v>0</v>
      </c>
      <c r="G60" s="1">
        <f>SUM(OSRRefD21_8x_3)</f>
        <v>1768.05</v>
      </c>
      <c r="H60" s="1">
        <f>SUM(OSRRefD21_8x_4)</f>
        <v>0</v>
      </c>
      <c r="I60" s="1">
        <f>SUM(OSRRefD21_8x_5)</f>
        <v>710</v>
      </c>
      <c r="J60" s="1">
        <f>SUM(OSRRefE21_8x_0)</f>
        <v>250</v>
      </c>
      <c r="K60" s="1">
        <f>SUM(OSRRefE21_8x_1)</f>
        <v>0</v>
      </c>
      <c r="L60" s="1">
        <f>SUM(OSRRefE21_8x_2)</f>
        <v>250</v>
      </c>
      <c r="M60" s="1">
        <f>SUM(OSRRefE21_8x_3)</f>
        <v>0</v>
      </c>
      <c r="N60" s="1">
        <f>SUM(OSRRefE21_8x_4)</f>
        <v>0</v>
      </c>
      <c r="O60" s="1">
        <f>SUM(OSRRefE21_8x_5)</f>
        <v>0</v>
      </c>
      <c r="Q60" s="2">
        <f>SUM(OSRRefD20_8x)+IFERROR(SUM(OSRRefE20_8x),0)</f>
        <v>15300.26</v>
      </c>
    </row>
    <row r="61" spans="1:17" s="35" customFormat="1" hidden="1" outlineLevel="1" x14ac:dyDescent="0.3">
      <c r="A61" s="34"/>
      <c r="B61" s="10" t="str">
        <f>CONCATENATE("          ","6269", " - ","ENTERTAINMENT")</f>
        <v xml:space="preserve">          6269 - ENTERTAINMENT</v>
      </c>
      <c r="C61" s="14"/>
      <c r="D61" s="2"/>
      <c r="E61" s="2"/>
      <c r="F61" s="2"/>
      <c r="G61" s="2"/>
      <c r="H61" s="2"/>
      <c r="I61" s="2"/>
      <c r="J61" s="2">
        <v>250</v>
      </c>
      <c r="K61" s="2"/>
      <c r="L61" s="2">
        <v>250</v>
      </c>
      <c r="M61" s="2"/>
      <c r="N61" s="2"/>
      <c r="O61" s="2"/>
      <c r="P61" s="9"/>
      <c r="Q61" s="2">
        <f>SUM(OSRRefD21_8_0x)+IFERROR(SUM(OSRRefE21_8_0x),0)</f>
        <v>500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165.28</v>
      </c>
      <c r="E62" s="2">
        <v>12156.93</v>
      </c>
      <c r="F62" s="2"/>
      <c r="G62" s="2">
        <v>1768.05</v>
      </c>
      <c r="H62" s="2"/>
      <c r="I62" s="2">
        <v>710</v>
      </c>
      <c r="J62" s="2"/>
      <c r="K62" s="2"/>
      <c r="L62" s="2"/>
      <c r="M62" s="2"/>
      <c r="N62" s="2"/>
      <c r="O62" s="2"/>
      <c r="P62" s="9"/>
      <c r="Q62" s="2">
        <f>SUM(OSRRefD21_8_1x)+IFERROR(SUM(OSRRefE21_8_1x),0)</f>
        <v>14800.26</v>
      </c>
    </row>
    <row r="63" spans="1:17" s="35" customFormat="1" collapsed="1" x14ac:dyDescent="0.3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SUM(OSRRefD21_9x_0)</f>
        <v>5756.21</v>
      </c>
      <c r="E63" s="1">
        <f>SUM(OSRRefD21_9x_1)</f>
        <v>5756.21</v>
      </c>
      <c r="F63" s="1">
        <f>SUM(OSRRefD21_9x_2)</f>
        <v>5756.21</v>
      </c>
      <c r="G63" s="1">
        <f>SUM(OSRRefD21_9x_3)</f>
        <v>12639.21</v>
      </c>
      <c r="H63" s="1">
        <f>SUM(OSRRefD21_9x_4)</f>
        <v>5756.21</v>
      </c>
      <c r="I63" s="1">
        <f>SUM(OSRRefD21_9x_5)</f>
        <v>5756.21</v>
      </c>
      <c r="J63" s="1">
        <f>SUM(OSRRefE21_9x_0)</f>
        <v>5670</v>
      </c>
      <c r="K63" s="1">
        <f>SUM(OSRRefE21_9x_1)</f>
        <v>5670</v>
      </c>
      <c r="L63" s="1">
        <f>SUM(OSRRefE21_9x_2)</f>
        <v>5670</v>
      </c>
      <c r="M63" s="1">
        <f>SUM(OSRRefE21_9x_3)</f>
        <v>5670</v>
      </c>
      <c r="N63" s="1">
        <f>SUM(OSRRefE21_9x_4)</f>
        <v>5670</v>
      </c>
      <c r="O63" s="1">
        <f>SUM(OSRRefE21_9x_5)</f>
        <v>5670</v>
      </c>
      <c r="Q63" s="2">
        <f>SUM(OSRRefD20_9x)+IFERROR(SUM(OSRRefE20_9x),0)</f>
        <v>75440.260000000009</v>
      </c>
    </row>
    <row r="64" spans="1:17" s="35" customFormat="1" hidden="1" outlineLevel="1" x14ac:dyDescent="0.3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5756.21</v>
      </c>
      <c r="E64" s="2">
        <v>5756.21</v>
      </c>
      <c r="F64" s="2">
        <v>5756.21</v>
      </c>
      <c r="G64" s="2">
        <v>12639.21</v>
      </c>
      <c r="H64" s="2">
        <v>5756.21</v>
      </c>
      <c r="I64" s="2">
        <v>5756.21</v>
      </c>
      <c r="J64" s="2">
        <v>5670</v>
      </c>
      <c r="K64" s="2">
        <v>5670</v>
      </c>
      <c r="L64" s="2">
        <v>5670</v>
      </c>
      <c r="M64" s="2">
        <v>5670</v>
      </c>
      <c r="N64" s="2">
        <v>5670</v>
      </c>
      <c r="O64" s="2">
        <v>5670</v>
      </c>
      <c r="P64" s="9"/>
      <c r="Q64" s="2">
        <f>SUM(OSRRefD21_9_0x)+IFERROR(SUM(OSRRefE21_9_0x),0)</f>
        <v>75440.260000000009</v>
      </c>
    </row>
    <row r="65" spans="1:17" s="35" customFormat="1" collapsed="1" x14ac:dyDescent="0.3">
      <c r="A65" s="34"/>
      <c r="B65" s="14" t="str">
        <f>CONCATENATE("     ","Interest                                          ")</f>
        <v xml:space="preserve">     Interest                                          </v>
      </c>
      <c r="C65" s="14"/>
      <c r="D65" s="1">
        <f>SUM(OSRRefD21_10x_0)</f>
        <v>7253</v>
      </c>
      <c r="E65" s="1">
        <f>SUM(OSRRefD21_10x_1)</f>
        <v>7253</v>
      </c>
      <c r="F65" s="1">
        <f>SUM(OSRRefD21_10x_2)</f>
        <v>7253</v>
      </c>
      <c r="G65" s="1">
        <f>SUM(OSRRefD21_10x_3)</f>
        <v>6739</v>
      </c>
      <c r="H65" s="1">
        <f>SUM(OSRRefD21_10x_4)</f>
        <v>7253</v>
      </c>
      <c r="I65" s="1">
        <f>SUM(OSRRefD21_10x_5)</f>
        <v>7253</v>
      </c>
      <c r="J65" s="1">
        <f>SUM(OSRRefE21_10x_0)</f>
        <v>7253</v>
      </c>
      <c r="K65" s="1">
        <f>SUM(OSRRefE21_10x_1)</f>
        <v>7253</v>
      </c>
      <c r="L65" s="1">
        <f>SUM(OSRRefE21_10x_2)</f>
        <v>7253</v>
      </c>
      <c r="M65" s="1">
        <f>SUM(OSRRefE21_10x_3)</f>
        <v>7253</v>
      </c>
      <c r="N65" s="1">
        <f>SUM(OSRRefE21_10x_4)</f>
        <v>6982</v>
      </c>
      <c r="O65" s="1">
        <f>SUM(OSRRefE21_10x_5)</f>
        <v>6982</v>
      </c>
      <c r="Q65" s="2">
        <f>SUM(OSRRefD20_10x)+IFERROR(SUM(OSRRefE20_10x),0)</f>
        <v>85980</v>
      </c>
    </row>
    <row r="66" spans="1:17" s="35" customFormat="1" hidden="1" outlineLevel="1" x14ac:dyDescent="0.3">
      <c r="A66" s="34"/>
      <c r="B66" s="10" t="str">
        <f>CONCATENATE("          ","6401", " - ","INTEREST EXPENSE")</f>
        <v xml:space="preserve">          6401 - INTEREST EXPENSE</v>
      </c>
      <c r="C66" s="14"/>
      <c r="D66" s="2">
        <v>7253</v>
      </c>
      <c r="E66" s="2">
        <v>7253</v>
      </c>
      <c r="F66" s="2">
        <v>7253</v>
      </c>
      <c r="G66" s="2">
        <v>6739</v>
      </c>
      <c r="H66" s="2">
        <v>7253</v>
      </c>
      <c r="I66" s="2">
        <v>7253</v>
      </c>
      <c r="J66" s="2">
        <v>7253</v>
      </c>
      <c r="K66" s="2">
        <v>7253</v>
      </c>
      <c r="L66" s="2">
        <v>7253</v>
      </c>
      <c r="M66" s="2">
        <v>7253</v>
      </c>
      <c r="N66" s="2">
        <v>6982</v>
      </c>
      <c r="O66" s="2">
        <v>6982</v>
      </c>
      <c r="P66" s="9"/>
      <c r="Q66" s="2">
        <f>SUM(OSRRefD21_10_0x)+IFERROR(SUM(OSRRefE21_10_0x),0)</f>
        <v>85980</v>
      </c>
    </row>
    <row r="67" spans="1:17" s="35" customFormat="1" collapsed="1" x14ac:dyDescent="0.3">
      <c r="A67" s="34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SUM(OSRRefD21_11x_0)</f>
        <v>1850</v>
      </c>
      <c r="E67" s="1">
        <f>SUM(OSRRefD21_11x_1)</f>
        <v>1850</v>
      </c>
      <c r="F67" s="1">
        <f>SUM(OSRRefD21_11x_2)</f>
        <v>1850</v>
      </c>
      <c r="G67" s="1">
        <f>SUM(OSRRefD21_11x_3)</f>
        <v>1850</v>
      </c>
      <c r="H67" s="1">
        <f>SUM(OSRRefD21_11x_4)</f>
        <v>1850</v>
      </c>
      <c r="I67" s="1">
        <f>SUM(OSRRefD21_11x_5)</f>
        <v>1850</v>
      </c>
      <c r="J67" s="1">
        <f>SUM(OSRRefE21_11x_0)</f>
        <v>1850</v>
      </c>
      <c r="K67" s="1">
        <f>SUM(OSRRefE21_11x_1)</f>
        <v>1850</v>
      </c>
      <c r="L67" s="1">
        <f>SUM(OSRRefE21_11x_2)</f>
        <v>1850</v>
      </c>
      <c r="M67" s="1">
        <f>SUM(OSRRefE21_11x_3)</f>
        <v>1850</v>
      </c>
      <c r="N67" s="1">
        <f>SUM(OSRRefE21_11x_4)</f>
        <v>1850</v>
      </c>
      <c r="O67" s="1">
        <f>SUM(OSRRefE21_11x_5)</f>
        <v>1850</v>
      </c>
      <c r="Q67" s="2">
        <f>SUM(OSRRefD20_11x)+IFERROR(SUM(OSRRefE20_11x),0)</f>
        <v>22200</v>
      </c>
    </row>
    <row r="68" spans="1:17" s="35" customFormat="1" hidden="1" outlineLevel="1" x14ac:dyDescent="0.3">
      <c r="A68" s="34"/>
      <c r="B68" s="10" t="str">
        <f>CONCATENATE("          ","6273", " - ","RENT")</f>
        <v xml:space="preserve">          6273 - RENT</v>
      </c>
      <c r="C68" s="14"/>
      <c r="D68" s="2">
        <v>1850</v>
      </c>
      <c r="E68" s="2">
        <v>1850</v>
      </c>
      <c r="F68" s="2">
        <v>1850</v>
      </c>
      <c r="G68" s="2">
        <v>1850</v>
      </c>
      <c r="H68" s="2">
        <v>1850</v>
      </c>
      <c r="I68" s="2">
        <v>1850</v>
      </c>
      <c r="J68" s="2">
        <v>1850</v>
      </c>
      <c r="K68" s="2">
        <v>1850</v>
      </c>
      <c r="L68" s="2">
        <v>1850</v>
      </c>
      <c r="M68" s="2">
        <v>1850</v>
      </c>
      <c r="N68" s="2">
        <v>1850</v>
      </c>
      <c r="O68" s="2">
        <v>1850</v>
      </c>
      <c r="P68" s="9"/>
      <c r="Q68" s="2">
        <f>SUM(OSRRefD21_11_0x)+IFERROR(SUM(OSRRefE21_11_0x),0)</f>
        <v>22200</v>
      </c>
    </row>
    <row r="69" spans="1:17" s="35" customFormat="1" collapsed="1" x14ac:dyDescent="0.3">
      <c r="A69" s="34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SUM(OSRRefD21_12x_0)</f>
        <v>3131.71</v>
      </c>
      <c r="E69" s="1">
        <f>SUM(OSRRefD21_12x_1)</f>
        <v>22493.54</v>
      </c>
      <c r="F69" s="1">
        <f>SUM(OSRRefD21_12x_2)</f>
        <v>3206.37</v>
      </c>
      <c r="G69" s="1">
        <f>SUM(OSRRefD21_12x_3)</f>
        <v>7679.84</v>
      </c>
      <c r="H69" s="1">
        <f>SUM(OSRRefD21_12x_4)</f>
        <v>5673.9500000000007</v>
      </c>
      <c r="I69" s="1">
        <f>SUM(OSRRefD21_12x_5)</f>
        <v>10702.599999999999</v>
      </c>
      <c r="J69" s="1">
        <f>SUM(OSRRefE21_12x_0)</f>
        <v>11166</v>
      </c>
      <c r="K69" s="1">
        <f>SUM(OSRRefE21_12x_1)</f>
        <v>3529</v>
      </c>
      <c r="L69" s="1">
        <f>SUM(OSRRefE21_12x_2)</f>
        <v>3450</v>
      </c>
      <c r="M69" s="1">
        <f>SUM(OSRRefE21_12x_3)</f>
        <v>5179</v>
      </c>
      <c r="N69" s="1">
        <f>SUM(OSRRefE21_12x_4)</f>
        <v>2679</v>
      </c>
      <c r="O69" s="1">
        <f>SUM(OSRRefE21_12x_5)</f>
        <v>1655</v>
      </c>
      <c r="Q69" s="2">
        <f>SUM(OSRRefD20_12x)+IFERROR(SUM(OSRRefE20_12x),0)</f>
        <v>80546.010000000009</v>
      </c>
    </row>
    <row r="70" spans="1:17" s="35" customFormat="1" hidden="1" outlineLevel="1" x14ac:dyDescent="0.3">
      <c r="A70" s="34"/>
      <c r="B70" s="10" t="str">
        <f>CONCATENATE("          ","6371", " - ","COMPUTER SOFTWARE MAINTENANCE")</f>
        <v xml:space="preserve">          6371 - COMPUTER SOFTWARE MAINTENANCE</v>
      </c>
      <c r="C70" s="14"/>
      <c r="D70" s="2"/>
      <c r="E70" s="2">
        <v>5177.72</v>
      </c>
      <c r="F70" s="2"/>
      <c r="G70" s="2">
        <v>159.68</v>
      </c>
      <c r="H70" s="2">
        <v>380.32</v>
      </c>
      <c r="I70" s="2">
        <v>618.36</v>
      </c>
      <c r="J70" s="2"/>
      <c r="K70" s="2"/>
      <c r="L70" s="2"/>
      <c r="M70" s="2"/>
      <c r="N70" s="2"/>
      <c r="O70" s="2"/>
      <c r="P70" s="9"/>
      <c r="Q70" s="2">
        <f>SUM(OSRRefD21_12_0x)+IFERROR(SUM(OSRRefE21_12_0x),0)</f>
        <v>6336.08</v>
      </c>
    </row>
    <row r="71" spans="1:17" s="35" customFormat="1" hidden="1" outlineLevel="1" x14ac:dyDescent="0.3">
      <c r="A71" s="34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/>
      <c r="J71" s="2">
        <v>8000</v>
      </c>
      <c r="K71" s="2"/>
      <c r="L71" s="2"/>
      <c r="M71" s="2"/>
      <c r="N71" s="2"/>
      <c r="O71" s="2"/>
      <c r="P71" s="9"/>
      <c r="Q71" s="2">
        <f>SUM(OSRRefD21_12_1x)+IFERROR(SUM(OSRRefE21_12_1x),0)</f>
        <v>8000</v>
      </c>
    </row>
    <row r="72" spans="1:17" s="35" customFormat="1" hidden="1" outlineLevel="1" x14ac:dyDescent="0.3">
      <c r="A72" s="34"/>
      <c r="B72" s="10" t="str">
        <f>CONCATENATE("          ","6373", " - ","MAINTENANCE CONTRACTS")</f>
        <v xml:space="preserve">          6373 - MAINTENANCE CONTRACTS</v>
      </c>
      <c r="C72" s="14"/>
      <c r="D72" s="2">
        <v>0.87</v>
      </c>
      <c r="E72" s="2"/>
      <c r="F72" s="2">
        <v>885.91</v>
      </c>
      <c r="G72" s="2">
        <v>2926.42</v>
      </c>
      <c r="H72" s="2">
        <v>2846.3</v>
      </c>
      <c r="I72" s="2">
        <v>4447.13</v>
      </c>
      <c r="J72" s="2">
        <v>1030</v>
      </c>
      <c r="K72" s="2"/>
      <c r="L72" s="2"/>
      <c r="M72" s="2">
        <v>1030</v>
      </c>
      <c r="N72" s="2"/>
      <c r="O72" s="2"/>
      <c r="P72" s="9"/>
      <c r="Q72" s="2">
        <f>SUM(OSRRefD21_12_2x)+IFERROR(SUM(OSRRefE21_12_2x),0)</f>
        <v>13166.630000000001</v>
      </c>
    </row>
    <row r="73" spans="1:17" s="35" customFormat="1" hidden="1" outlineLevel="1" x14ac:dyDescent="0.3">
      <c r="A73" s="34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3130.84</v>
      </c>
      <c r="E73" s="2">
        <v>17315.82</v>
      </c>
      <c r="F73" s="2">
        <v>2320.46</v>
      </c>
      <c r="G73" s="2">
        <v>4593.74</v>
      </c>
      <c r="H73" s="2">
        <v>2447.33</v>
      </c>
      <c r="I73" s="2">
        <v>5637.11</v>
      </c>
      <c r="J73" s="2">
        <v>2136</v>
      </c>
      <c r="K73" s="2">
        <v>3529</v>
      </c>
      <c r="L73" s="2">
        <v>3450</v>
      </c>
      <c r="M73" s="2">
        <v>4149</v>
      </c>
      <c r="N73" s="2">
        <v>2679</v>
      </c>
      <c r="O73" s="2">
        <v>1655</v>
      </c>
      <c r="P73" s="9"/>
      <c r="Q73" s="2">
        <f>SUM(OSRRefD21_12_3x)+IFERROR(SUM(OSRRefE21_12_3x),0)</f>
        <v>53043.3</v>
      </c>
    </row>
    <row r="74" spans="1:17" s="35" customFormat="1" collapsed="1" x14ac:dyDescent="0.3">
      <c r="A74" s="34"/>
      <c r="B74" s="14" t="str">
        <f>CONCATENATE("     ","Royalty &amp; Commissions                             ")</f>
        <v xml:space="preserve">     Royalty &amp; Commissions                             </v>
      </c>
      <c r="C74" s="14"/>
      <c r="D74" s="1">
        <f>SUM(OSRRefD21_13x_0)</f>
        <v>0</v>
      </c>
      <c r="E74" s="1">
        <f>SUM(OSRRefD21_13x_1)</f>
        <v>0</v>
      </c>
      <c r="F74" s="1">
        <f>SUM(OSRRefD21_13x_2)</f>
        <v>0</v>
      </c>
      <c r="G74" s="1">
        <f>SUM(OSRRefD21_13x_3)</f>
        <v>1066.22</v>
      </c>
      <c r="H74" s="1">
        <f>SUM(OSRRefD21_13x_4)</f>
        <v>366.22</v>
      </c>
      <c r="I74" s="1">
        <f>SUM(OSRRefD21_13x_5)</f>
        <v>412.47</v>
      </c>
      <c r="J74" s="1">
        <f>SUM(OSRRefE21_13x_0)</f>
        <v>0</v>
      </c>
      <c r="K74" s="1">
        <f>SUM(OSRRefE21_13x_1)</f>
        <v>0</v>
      </c>
      <c r="L74" s="1">
        <f>SUM(OSRRefE21_13x_2)</f>
        <v>0</v>
      </c>
      <c r="M74" s="1">
        <f>SUM(OSRRefE21_13x_3)</f>
        <v>0</v>
      </c>
      <c r="N74" s="1">
        <f>SUM(OSRRefE21_13x_4)</f>
        <v>0</v>
      </c>
      <c r="O74" s="1">
        <f>SUM(OSRRefE21_13x_5)</f>
        <v>0</v>
      </c>
      <c r="Q74" s="2">
        <f>SUM(OSRRefD20_13x)+IFERROR(SUM(OSRRefE20_13x),0)</f>
        <v>1844.91</v>
      </c>
    </row>
    <row r="75" spans="1:17" s="35" customFormat="1" hidden="1" outlineLevel="1" x14ac:dyDescent="0.3">
      <c r="A75" s="34"/>
      <c r="B75" s="10" t="str">
        <f>CONCATENATE("          ","6254", " - ","ROYALTY &amp; COMMISSIONS")</f>
        <v xml:space="preserve">          6254 - ROYALTY &amp; COMMISSIONS</v>
      </c>
      <c r="C75" s="14"/>
      <c r="D75" s="2"/>
      <c r="E75" s="2"/>
      <c r="F75" s="2"/>
      <c r="G75" s="2">
        <v>1066.22</v>
      </c>
      <c r="H75" s="2">
        <v>366.22</v>
      </c>
      <c r="I75" s="2">
        <v>412.47</v>
      </c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1844.91</v>
      </c>
    </row>
    <row r="76" spans="1:17" s="35" customFormat="1" collapsed="1" x14ac:dyDescent="0.3">
      <c r="A76" s="34"/>
      <c r="B76" s="14" t="str">
        <f>CONCATENATE("     ","Services                                          ")</f>
        <v xml:space="preserve">     Services                                          </v>
      </c>
      <c r="C76" s="14"/>
      <c r="D76" s="1">
        <f>SUM(OSRRefD21_14x_0)</f>
        <v>4589.2299999999996</v>
      </c>
      <c r="E76" s="1">
        <f>SUM(OSRRefD21_14x_1)</f>
        <v>16013.769999999999</v>
      </c>
      <c r="F76" s="1">
        <f>SUM(OSRRefD21_14x_2)</f>
        <v>8395.5499999999993</v>
      </c>
      <c r="G76" s="1">
        <f>SUM(OSRRefD21_14x_3)</f>
        <v>6017.3700000000008</v>
      </c>
      <c r="H76" s="1">
        <f>SUM(OSRRefD21_14x_4)</f>
        <v>4708.99</v>
      </c>
      <c r="I76" s="1">
        <f>SUM(OSRRefD21_14x_5)</f>
        <v>2192.15</v>
      </c>
      <c r="J76" s="1">
        <f>SUM(OSRRefE21_14x_0)</f>
        <v>11137</v>
      </c>
      <c r="K76" s="1">
        <f>SUM(OSRRefE21_14x_1)</f>
        <v>11005</v>
      </c>
      <c r="L76" s="1">
        <f>SUM(OSRRefE21_14x_2)</f>
        <v>11005</v>
      </c>
      <c r="M76" s="1">
        <f>SUM(OSRRefE21_14x_3)</f>
        <v>12002</v>
      </c>
      <c r="N76" s="1">
        <f>SUM(OSRRefE21_14x_4)</f>
        <v>11005</v>
      </c>
      <c r="O76" s="1">
        <f>SUM(OSRRefE21_14x_5)</f>
        <v>11092</v>
      </c>
      <c r="Q76" s="2">
        <f>SUM(OSRRefD20_14x)+IFERROR(SUM(OSRRefE20_14x),0)</f>
        <v>109163.06</v>
      </c>
    </row>
    <row r="77" spans="1:17" s="35" customFormat="1" hidden="1" outlineLevel="1" x14ac:dyDescent="0.3">
      <c r="A77" s="34"/>
      <c r="B77" s="10" t="str">
        <f>CONCATENATE("          ","6282", " - ","JANITORIAL/EXTERMINATOR EXPENS")</f>
        <v xml:space="preserve">          6282 - JANITORIAL/EXTERMINATOR EXPENS</v>
      </c>
      <c r="C77" s="14"/>
      <c r="D77" s="2">
        <v>670.1</v>
      </c>
      <c r="E77" s="2">
        <v>1021.65</v>
      </c>
      <c r="F77" s="2">
        <v>1021.65</v>
      </c>
      <c r="G77" s="2">
        <v>1437.06</v>
      </c>
      <c r="H77" s="2">
        <v>1021.65</v>
      </c>
      <c r="I77" s="2">
        <v>1409.65</v>
      </c>
      <c r="J77" s="2">
        <v>1128</v>
      </c>
      <c r="K77" s="2">
        <v>1128</v>
      </c>
      <c r="L77" s="2">
        <v>1128</v>
      </c>
      <c r="M77" s="2">
        <v>1128</v>
      </c>
      <c r="N77" s="2">
        <v>1128</v>
      </c>
      <c r="O77" s="2">
        <v>1128</v>
      </c>
      <c r="P77" s="9"/>
      <c r="Q77" s="2">
        <f>SUM(OSRRefD21_14_0x)+IFERROR(SUM(OSRRefE21_14_0x),0)</f>
        <v>13349.76</v>
      </c>
    </row>
    <row r="78" spans="1:17" s="35" customFormat="1" hidden="1" outlineLevel="1" x14ac:dyDescent="0.3">
      <c r="A78" s="34"/>
      <c r="B78" s="10" t="str">
        <f>CONCATENATE("          ","6283", " - ","PLANT SERVICE")</f>
        <v xml:space="preserve">          6283 - PLANT SERVICE</v>
      </c>
      <c r="C78" s="14"/>
      <c r="D78" s="2"/>
      <c r="E78" s="2"/>
      <c r="F78" s="2"/>
      <c r="G78" s="2"/>
      <c r="H78" s="2"/>
      <c r="I78" s="2"/>
      <c r="J78" s="2">
        <v>100</v>
      </c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SUM(OSRRefD21_14_1x)+IFERROR(SUM(OSRRefE21_14_1x),0)</f>
        <v>600</v>
      </c>
    </row>
    <row r="79" spans="1:17" s="35" customFormat="1" hidden="1" outlineLevel="1" x14ac:dyDescent="0.3">
      <c r="A79" s="34"/>
      <c r="B79" s="10" t="str">
        <f>CONCATENATE("          ","6284", " - ","TRASH REMOVAL EXPENSE")</f>
        <v xml:space="preserve">          6284 - TRASH REMOVAL EXPENSE</v>
      </c>
      <c r="C79" s="14"/>
      <c r="D79" s="2"/>
      <c r="E79" s="2"/>
      <c r="F79" s="2"/>
      <c r="G79" s="2"/>
      <c r="H79" s="2"/>
      <c r="I79" s="2"/>
      <c r="J79" s="2">
        <v>1000</v>
      </c>
      <c r="K79" s="2">
        <v>1000</v>
      </c>
      <c r="L79" s="2">
        <v>1000</v>
      </c>
      <c r="M79" s="2">
        <v>1000</v>
      </c>
      <c r="N79" s="2">
        <v>1000</v>
      </c>
      <c r="O79" s="2">
        <v>1000</v>
      </c>
      <c r="P79" s="9"/>
      <c r="Q79" s="2">
        <f>SUM(OSRRefD21_14_2x)+IFERROR(SUM(OSRRefE21_14_2x),0)</f>
        <v>6000</v>
      </c>
    </row>
    <row r="80" spans="1:17" s="35" customFormat="1" hidden="1" outlineLevel="1" x14ac:dyDescent="0.3">
      <c r="A80" s="34"/>
      <c r="B80" s="10" t="str">
        <f>CONCATENATE("          ","6285", " - ","JANITORIAL SERVICES")</f>
        <v xml:space="preserve">          6285 - JANITORIAL SERVICES</v>
      </c>
      <c r="C80" s="14"/>
      <c r="D80" s="2">
        <v>3759.39</v>
      </c>
      <c r="E80" s="2">
        <v>14832.38</v>
      </c>
      <c r="F80" s="2">
        <v>7166.13</v>
      </c>
      <c r="G80" s="2">
        <v>3804.38</v>
      </c>
      <c r="H80" s="2">
        <v>3385.52</v>
      </c>
      <c r="I80" s="2"/>
      <c r="J80" s="2">
        <v>8224</v>
      </c>
      <c r="K80" s="2">
        <v>8224</v>
      </c>
      <c r="L80" s="2">
        <v>8224</v>
      </c>
      <c r="M80" s="2">
        <v>9099</v>
      </c>
      <c r="N80" s="2">
        <v>8224</v>
      </c>
      <c r="O80" s="2">
        <v>8224</v>
      </c>
      <c r="P80" s="9"/>
      <c r="Q80" s="2">
        <f>SUM(OSRRefD21_14_3x)+IFERROR(SUM(OSRRefE21_14_3x),0)</f>
        <v>83166.8</v>
      </c>
    </row>
    <row r="81" spans="1:17" s="35" customFormat="1" hidden="1" outlineLevel="1" x14ac:dyDescent="0.3">
      <c r="A81" s="34"/>
      <c r="B81" s="10" t="str">
        <f>CONCATENATE("          ","6286", " - ","LAUNDRY EXPENSE")</f>
        <v xml:space="preserve">          6286 - LAUNDRY EXPENSE</v>
      </c>
      <c r="C81" s="14"/>
      <c r="D81" s="2">
        <v>159.74</v>
      </c>
      <c r="E81" s="2">
        <v>159.74</v>
      </c>
      <c r="F81" s="2">
        <v>207.77</v>
      </c>
      <c r="G81" s="2">
        <v>775.93</v>
      </c>
      <c r="H81" s="2">
        <v>301.82</v>
      </c>
      <c r="I81" s="2">
        <v>782.5</v>
      </c>
      <c r="J81" s="2">
        <v>685</v>
      </c>
      <c r="K81" s="2">
        <v>553</v>
      </c>
      <c r="L81" s="2">
        <v>553</v>
      </c>
      <c r="M81" s="2">
        <v>675</v>
      </c>
      <c r="N81" s="2">
        <v>553</v>
      </c>
      <c r="O81" s="2">
        <v>640</v>
      </c>
      <c r="P81" s="9"/>
      <c r="Q81" s="2">
        <f>SUM(OSRRefD21_14_4x)+IFERROR(SUM(OSRRefE21_14_4x),0)</f>
        <v>6046.5</v>
      </c>
    </row>
    <row r="82" spans="1:17" s="35" customFormat="1" collapsed="1" x14ac:dyDescent="0.3">
      <c r="A82" s="34"/>
      <c r="B82" s="14" t="str">
        <f>CONCATENATE("     ","Subscriptions &amp; Dues                              ")</f>
        <v xml:space="preserve">     Subscriptions &amp; Dues                              </v>
      </c>
      <c r="C82" s="14"/>
      <c r="D82" s="1">
        <f>SUM(OSRRefD21_15x_0)</f>
        <v>130.66999999999999</v>
      </c>
      <c r="E82" s="1">
        <f>SUM(OSRRefD21_15x_1)</f>
        <v>593.59</v>
      </c>
      <c r="F82" s="1">
        <f>SUM(OSRRefD21_15x_2)</f>
        <v>408.93</v>
      </c>
      <c r="G82" s="1">
        <f>SUM(OSRRefD21_15x_3)</f>
        <v>813.81</v>
      </c>
      <c r="H82" s="1">
        <f>SUM(OSRRefD21_15x_4)</f>
        <v>569.5</v>
      </c>
      <c r="I82" s="1">
        <f>SUM(OSRRefD21_15x_5)</f>
        <v>1456.11</v>
      </c>
      <c r="J82" s="1">
        <f>SUM(OSRRefE21_15x_0)</f>
        <v>610</v>
      </c>
      <c r="K82" s="1">
        <f>SUM(OSRRefE21_15x_1)</f>
        <v>610</v>
      </c>
      <c r="L82" s="1">
        <f>SUM(OSRRefE21_15x_2)</f>
        <v>610</v>
      </c>
      <c r="M82" s="1">
        <f>SUM(OSRRefE21_15x_3)</f>
        <v>610</v>
      </c>
      <c r="N82" s="1">
        <f>SUM(OSRRefE21_15x_4)</f>
        <v>610</v>
      </c>
      <c r="O82" s="1">
        <f>SUM(OSRRefE21_15x_5)</f>
        <v>610</v>
      </c>
      <c r="Q82" s="2">
        <f>SUM(OSRRefD20_15x)+IFERROR(SUM(OSRRefE20_15x),0)</f>
        <v>7632.61</v>
      </c>
    </row>
    <row r="83" spans="1:17" s="35" customFormat="1" hidden="1" outlineLevel="1" x14ac:dyDescent="0.3">
      <c r="A83" s="34"/>
      <c r="B83" s="10" t="str">
        <f>CONCATENATE("          ","6275", " - ","SUBSCRIPTIONS")</f>
        <v xml:space="preserve">          6275 - SUBSCRIPTIONS</v>
      </c>
      <c r="C83" s="14"/>
      <c r="D83" s="2">
        <v>130.66999999999999</v>
      </c>
      <c r="E83" s="2">
        <v>593.59</v>
      </c>
      <c r="F83" s="2">
        <v>408.93</v>
      </c>
      <c r="G83" s="2">
        <v>813.81</v>
      </c>
      <c r="H83" s="2">
        <v>569.5</v>
      </c>
      <c r="I83" s="2">
        <v>1456.11</v>
      </c>
      <c r="J83" s="2">
        <v>610</v>
      </c>
      <c r="K83" s="2">
        <v>610</v>
      </c>
      <c r="L83" s="2">
        <v>610</v>
      </c>
      <c r="M83" s="2">
        <v>610</v>
      </c>
      <c r="N83" s="2">
        <v>610</v>
      </c>
      <c r="O83" s="2">
        <v>610</v>
      </c>
      <c r="P83" s="9"/>
      <c r="Q83" s="2">
        <f>SUM(OSRRefD21_15_0x)+IFERROR(SUM(OSRRefE21_15_0x),0)</f>
        <v>7632.61</v>
      </c>
    </row>
    <row r="84" spans="1:17" s="35" customFormat="1" collapsed="1" x14ac:dyDescent="0.3">
      <c r="A84" s="34"/>
      <c r="B84" s="14" t="str">
        <f>CONCATENATE("     ","Supplies                                          ")</f>
        <v xml:space="preserve">     Supplies                                          </v>
      </c>
      <c r="C84" s="14"/>
      <c r="D84" s="1">
        <f>SUM(OSRRefD21_16x_0)</f>
        <v>1730.4100000000003</v>
      </c>
      <c r="E84" s="1">
        <f>SUM(OSRRefD21_16x_1)</f>
        <v>3121.12</v>
      </c>
      <c r="F84" s="1">
        <f>SUM(OSRRefD21_16x_2)</f>
        <v>3070.52</v>
      </c>
      <c r="G84" s="1">
        <f>SUM(OSRRefD21_16x_3)</f>
        <v>7705.43</v>
      </c>
      <c r="H84" s="1">
        <f>SUM(OSRRefD21_16x_4)</f>
        <v>1318.71</v>
      </c>
      <c r="I84" s="1">
        <f>SUM(OSRRefD21_16x_5)</f>
        <v>1639.9199999999998</v>
      </c>
      <c r="J84" s="1">
        <f>SUM(OSRRefE21_16x_0)</f>
        <v>2575</v>
      </c>
      <c r="K84" s="1">
        <f>SUM(OSRRefE21_16x_1)</f>
        <v>1675</v>
      </c>
      <c r="L84" s="1">
        <f>SUM(OSRRefE21_16x_2)</f>
        <v>1225</v>
      </c>
      <c r="M84" s="1">
        <f>SUM(OSRRefE21_16x_3)</f>
        <v>1225</v>
      </c>
      <c r="N84" s="1">
        <f>SUM(OSRRefE21_16x_4)</f>
        <v>1225</v>
      </c>
      <c r="O84" s="1">
        <f>SUM(OSRRefE21_16x_5)</f>
        <v>1000</v>
      </c>
      <c r="Q84" s="2">
        <f>SUM(OSRRefD20_16x)+IFERROR(SUM(OSRRefE20_16x),0)</f>
        <v>27511.11</v>
      </c>
    </row>
    <row r="85" spans="1:17" s="35" customFormat="1" hidden="1" outlineLevel="1" x14ac:dyDescent="0.3">
      <c r="A85" s="34"/>
      <c r="B85" s="10" t="str">
        <f>CONCATENATE("          ","6235", " - ","COVID-19 EXPENSES")</f>
        <v xml:space="preserve">          6235 - COVID-19 EXPENSES</v>
      </c>
      <c r="C85" s="14"/>
      <c r="D85" s="2"/>
      <c r="E85" s="2"/>
      <c r="F85" s="2">
        <v>193.5</v>
      </c>
      <c r="G85" s="2"/>
      <c r="H85" s="2"/>
      <c r="I85" s="2"/>
      <c r="J85" s="2">
        <v>250</v>
      </c>
      <c r="K85" s="2">
        <v>250</v>
      </c>
      <c r="L85" s="2">
        <v>250</v>
      </c>
      <c r="M85" s="2">
        <v>250</v>
      </c>
      <c r="N85" s="2">
        <v>250</v>
      </c>
      <c r="O85" s="2">
        <v>225</v>
      </c>
      <c r="P85" s="9"/>
      <c r="Q85" s="2">
        <f>SUM(OSRRefD21_16_0x)+IFERROR(SUM(OSRRefE21_16_0x),0)</f>
        <v>1668.5</v>
      </c>
    </row>
    <row r="86" spans="1:17" s="35" customFormat="1" hidden="1" outlineLevel="1" x14ac:dyDescent="0.3">
      <c r="A86" s="34"/>
      <c r="B86" s="10" t="str">
        <f>CONCATENATE("          ","6237", " - ","JANITORIAL SUPPLIES")</f>
        <v xml:space="preserve">          6237 - JANITORIAL SUPPLIES</v>
      </c>
      <c r="C86" s="14"/>
      <c r="D86" s="2">
        <v>1002.17</v>
      </c>
      <c r="E86" s="2">
        <v>1045.24</v>
      </c>
      <c r="F86" s="2">
        <v>1597.32</v>
      </c>
      <c r="G86" s="2">
        <v>804.12</v>
      </c>
      <c r="H86" s="2">
        <v>583.25</v>
      </c>
      <c r="I86" s="2">
        <v>815.51</v>
      </c>
      <c r="J86" s="2">
        <v>225</v>
      </c>
      <c r="K86" s="2">
        <v>225</v>
      </c>
      <c r="L86" s="2">
        <v>225</v>
      </c>
      <c r="M86" s="2">
        <v>225</v>
      </c>
      <c r="N86" s="2">
        <v>225</v>
      </c>
      <c r="O86" s="2">
        <v>175</v>
      </c>
      <c r="P86" s="9"/>
      <c r="Q86" s="2">
        <f>SUM(OSRRefD21_16_1x)+IFERROR(SUM(OSRRefE21_16_1x),0)</f>
        <v>7147.61</v>
      </c>
    </row>
    <row r="87" spans="1:17" s="35" customFormat="1" hidden="1" outlineLevel="1" x14ac:dyDescent="0.3">
      <c r="A87" s="34"/>
      <c r="B87" s="10" t="str">
        <f>CONCATENATE("          ","6239", " - ","KITCHEN SUPPLIES")</f>
        <v xml:space="preserve">          6239 - KITCHEN SUPPLIES</v>
      </c>
      <c r="C87" s="14"/>
      <c r="D87" s="2">
        <v>32.03</v>
      </c>
      <c r="E87" s="2">
        <v>218.6</v>
      </c>
      <c r="F87" s="2">
        <v>820.56</v>
      </c>
      <c r="G87" s="2">
        <v>920.86</v>
      </c>
      <c r="H87" s="2">
        <v>291.81</v>
      </c>
      <c r="I87" s="2">
        <v>571.91999999999996</v>
      </c>
      <c r="J87" s="2">
        <v>100</v>
      </c>
      <c r="K87" s="2"/>
      <c r="L87" s="2"/>
      <c r="M87" s="2"/>
      <c r="N87" s="2"/>
      <c r="O87" s="2"/>
      <c r="P87" s="9"/>
      <c r="Q87" s="2">
        <f>SUM(OSRRefD21_16_2x)+IFERROR(SUM(OSRRefE21_16_2x),0)</f>
        <v>2955.78</v>
      </c>
    </row>
    <row r="88" spans="1:17" s="35" customFormat="1" hidden="1" outlineLevel="1" x14ac:dyDescent="0.3">
      <c r="A88" s="34"/>
      <c r="B88" s="10" t="str">
        <f>CONCATENATE("          ","6241", " - ","OFFICE EXPENSE")</f>
        <v xml:space="preserve">          6241 - OFFICE EXPENSE</v>
      </c>
      <c r="C88" s="14"/>
      <c r="D88" s="2">
        <v>530.83000000000004</v>
      </c>
      <c r="E88" s="2">
        <v>1336.43</v>
      </c>
      <c r="F88" s="2">
        <v>194.6</v>
      </c>
      <c r="G88" s="2">
        <v>4114.0200000000004</v>
      </c>
      <c r="H88" s="2">
        <v>250.7</v>
      </c>
      <c r="I88" s="2">
        <v>185.82</v>
      </c>
      <c r="J88" s="2">
        <v>200</v>
      </c>
      <c r="K88" s="2"/>
      <c r="L88" s="2">
        <v>50</v>
      </c>
      <c r="M88" s="2"/>
      <c r="N88" s="2">
        <v>50</v>
      </c>
      <c r="O88" s="2"/>
      <c r="P88" s="9"/>
      <c r="Q88" s="2">
        <f>SUM(OSRRefD21_16_3x)+IFERROR(SUM(OSRRefE21_16_3x),0)</f>
        <v>6912.4000000000005</v>
      </c>
    </row>
    <row r="89" spans="1:17" s="35" customFormat="1" hidden="1" outlineLevel="1" x14ac:dyDescent="0.3">
      <c r="A89" s="34"/>
      <c r="B89" s="10" t="str">
        <f>CONCATENATE("          ","6243", " - ","PAPER SUPPLIES")</f>
        <v xml:space="preserve">          6243 - PAPER SUPPLIES</v>
      </c>
      <c r="C89" s="14"/>
      <c r="D89" s="2">
        <v>165.38</v>
      </c>
      <c r="E89" s="2">
        <v>320.85000000000002</v>
      </c>
      <c r="F89" s="2">
        <v>50.56</v>
      </c>
      <c r="G89" s="2">
        <v>648.79999999999995</v>
      </c>
      <c r="H89" s="2"/>
      <c r="I89" s="2">
        <v>66.67</v>
      </c>
      <c r="J89" s="2">
        <v>900</v>
      </c>
      <c r="K89" s="2">
        <v>600</v>
      </c>
      <c r="L89" s="2">
        <v>600</v>
      </c>
      <c r="M89" s="2">
        <v>600</v>
      </c>
      <c r="N89" s="2">
        <v>600</v>
      </c>
      <c r="O89" s="2">
        <v>500</v>
      </c>
      <c r="P89" s="9"/>
      <c r="Q89" s="2">
        <f>SUM(OSRRefD21_16_4x)+IFERROR(SUM(OSRRefE21_16_4x),0)</f>
        <v>5052.26</v>
      </c>
    </row>
    <row r="90" spans="1:17" s="35" customFormat="1" hidden="1" outlineLevel="1" x14ac:dyDescent="0.3">
      <c r="A90" s="34"/>
      <c r="B90" s="10" t="str">
        <f>CONCATENATE("          ","6244", " - ","SAFETY SUPPLY EXPENSE")</f>
        <v xml:space="preserve">          6244 - SAFETY SUPPLY EXPENSE</v>
      </c>
      <c r="C90" s="14"/>
      <c r="D90" s="2"/>
      <c r="E90" s="2"/>
      <c r="F90" s="2"/>
      <c r="G90" s="2"/>
      <c r="H90" s="2"/>
      <c r="I90" s="2"/>
      <c r="J90" s="2"/>
      <c r="K90" s="2"/>
      <c r="L90" s="2"/>
      <c r="M90" s="2">
        <v>50</v>
      </c>
      <c r="N90" s="2"/>
      <c r="O90" s="2"/>
      <c r="P90" s="9"/>
      <c r="Q90" s="2">
        <f>SUM(OSRRefD21_16_5x)+IFERROR(SUM(OSRRefE21_16_5x),0)</f>
        <v>50</v>
      </c>
    </row>
    <row r="91" spans="1:17" s="35" customFormat="1" hidden="1" outlineLevel="1" x14ac:dyDescent="0.3">
      <c r="A91" s="34"/>
      <c r="B91" s="10" t="str">
        <f>CONCATENATE("          ","6245", " - ","PRINTING")</f>
        <v xml:space="preserve">          6245 - PRINTING</v>
      </c>
      <c r="C91" s="14"/>
      <c r="D91" s="2"/>
      <c r="E91" s="2"/>
      <c r="F91" s="2"/>
      <c r="G91" s="2">
        <v>1071</v>
      </c>
      <c r="H91" s="2"/>
      <c r="I91" s="2"/>
      <c r="J91" s="2">
        <v>400</v>
      </c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SUM(OSRRefD21_16_6x)+IFERROR(SUM(OSRRefE21_16_6x),0)</f>
        <v>1971</v>
      </c>
    </row>
    <row r="92" spans="1:17" s="35" customFormat="1" hidden="1" outlineLevel="1" x14ac:dyDescent="0.3">
      <c r="A92" s="34"/>
      <c r="B92" s="10" t="str">
        <f>CONCATENATE("          ","6247", " - ","STORE SUPPLIES")</f>
        <v xml:space="preserve">          6247 - STORE SUPPLIES</v>
      </c>
      <c r="C92" s="14"/>
      <c r="D92" s="2"/>
      <c r="E92" s="2">
        <v>200</v>
      </c>
      <c r="F92" s="2">
        <v>213.98</v>
      </c>
      <c r="G92" s="2">
        <v>146.63</v>
      </c>
      <c r="H92" s="2">
        <v>-60</v>
      </c>
      <c r="I92" s="2">
        <v>0</v>
      </c>
      <c r="J92" s="2"/>
      <c r="K92" s="2"/>
      <c r="L92" s="2"/>
      <c r="M92" s="2"/>
      <c r="N92" s="2"/>
      <c r="O92" s="2"/>
      <c r="P92" s="9"/>
      <c r="Q92" s="2">
        <f>SUM(OSRRefD21_16_7x)+IFERROR(SUM(OSRRefE21_16_7x),0)</f>
        <v>500.61</v>
      </c>
    </row>
    <row r="93" spans="1:17" s="35" customFormat="1" hidden="1" outlineLevel="1" x14ac:dyDescent="0.3">
      <c r="A93" s="34"/>
      <c r="B93" s="10" t="str">
        <f>CONCATENATE("          ","6248", " - ","UNIFORMS")</f>
        <v xml:space="preserve">          6248 - UNIFORMS</v>
      </c>
      <c r="C93" s="14"/>
      <c r="D93" s="2"/>
      <c r="E93" s="2"/>
      <c r="F93" s="2"/>
      <c r="G93" s="2"/>
      <c r="H93" s="2">
        <v>252.95</v>
      </c>
      <c r="I93" s="2"/>
      <c r="J93" s="2">
        <v>500</v>
      </c>
      <c r="K93" s="2">
        <v>500</v>
      </c>
      <c r="L93" s="2"/>
      <c r="M93" s="2"/>
      <c r="N93" s="2"/>
      <c r="O93" s="2"/>
      <c r="P93" s="9"/>
      <c r="Q93" s="2">
        <f>SUM(OSRRefD21_16_8x)+IFERROR(SUM(OSRRefE21_16_8x),0)</f>
        <v>1252.95</v>
      </c>
    </row>
    <row r="94" spans="1:17" s="35" customFormat="1" collapsed="1" x14ac:dyDescent="0.3">
      <c r="A94" s="34"/>
      <c r="B94" s="14" t="str">
        <f>CONCATENATE("     ","Telephone/Data Lines                              ")</f>
        <v xml:space="preserve">     Telephone/Data Lines                              </v>
      </c>
      <c r="C94" s="14"/>
      <c r="D94" s="1">
        <f>SUM(OSRRefD21_17x_0)</f>
        <v>523.54999999999995</v>
      </c>
      <c r="E94" s="1">
        <f>SUM(OSRRefD21_17x_1)</f>
        <v>721.95</v>
      </c>
      <c r="F94" s="1">
        <f>SUM(OSRRefD21_17x_2)</f>
        <v>647.28</v>
      </c>
      <c r="G94" s="1">
        <f>SUM(OSRRefD21_17x_3)</f>
        <v>988.61</v>
      </c>
      <c r="H94" s="1">
        <f>SUM(OSRRefD21_17x_4)</f>
        <v>586.1</v>
      </c>
      <c r="I94" s="1">
        <f>SUM(OSRRefD21_17x_5)</f>
        <v>177.45</v>
      </c>
      <c r="J94" s="1">
        <f>SUM(OSRRefE21_17x_0)</f>
        <v>510</v>
      </c>
      <c r="K94" s="1">
        <f>SUM(OSRRefE21_17x_1)</f>
        <v>360</v>
      </c>
      <c r="L94" s="1">
        <f>SUM(OSRRefE21_17x_2)</f>
        <v>360</v>
      </c>
      <c r="M94" s="1">
        <f>SUM(OSRRefE21_17x_3)</f>
        <v>360</v>
      </c>
      <c r="N94" s="1">
        <f>SUM(OSRRefE21_17x_4)</f>
        <v>510</v>
      </c>
      <c r="O94" s="1">
        <f>SUM(OSRRefE21_17x_5)</f>
        <v>360</v>
      </c>
      <c r="Q94" s="2">
        <f>SUM(OSRRefD20_17x)+IFERROR(SUM(OSRRefE20_17x),0)</f>
        <v>6104.94</v>
      </c>
    </row>
    <row r="95" spans="1:17" s="35" customFormat="1" hidden="1" outlineLevel="1" x14ac:dyDescent="0.3">
      <c r="A95" s="34"/>
      <c r="B95" s="10" t="str">
        <f>CONCATENATE("          ","6303", " - ","DATA PHONE LINES")</f>
        <v xml:space="preserve">          6303 - DATA PHONE LINES</v>
      </c>
      <c r="C95" s="14"/>
      <c r="D95" s="2"/>
      <c r="E95" s="2"/>
      <c r="F95" s="2"/>
      <c r="G95" s="2"/>
      <c r="H95" s="2"/>
      <c r="I95" s="2"/>
      <c r="J95" s="2">
        <v>135</v>
      </c>
      <c r="K95" s="2">
        <v>135</v>
      </c>
      <c r="L95" s="2">
        <v>135</v>
      </c>
      <c r="M95" s="2">
        <v>135</v>
      </c>
      <c r="N95" s="2">
        <v>135</v>
      </c>
      <c r="O95" s="2">
        <v>135</v>
      </c>
      <c r="P95" s="9"/>
      <c r="Q95" s="2">
        <f>SUM(OSRRefD21_17_0x)+IFERROR(SUM(OSRRefE21_17_0x),0)</f>
        <v>810</v>
      </c>
    </row>
    <row r="96" spans="1:17" s="35" customFormat="1" hidden="1" outlineLevel="1" x14ac:dyDescent="0.3">
      <c r="A96" s="34"/>
      <c r="B96" s="10" t="str">
        <f>CONCATENATE("          ","6309", " - ","TELEPHONE")</f>
        <v xml:space="preserve">          6309 - TELEPHONE</v>
      </c>
      <c r="C96" s="14"/>
      <c r="D96" s="2">
        <v>523.54999999999995</v>
      </c>
      <c r="E96" s="2">
        <v>721.95</v>
      </c>
      <c r="F96" s="2">
        <v>647.28</v>
      </c>
      <c r="G96" s="2">
        <v>988.61</v>
      </c>
      <c r="H96" s="2">
        <v>586.1</v>
      </c>
      <c r="I96" s="2">
        <v>177.45</v>
      </c>
      <c r="J96" s="2">
        <v>375</v>
      </c>
      <c r="K96" s="2">
        <v>225</v>
      </c>
      <c r="L96" s="2">
        <v>225</v>
      </c>
      <c r="M96" s="2">
        <v>225</v>
      </c>
      <c r="N96" s="2">
        <v>375</v>
      </c>
      <c r="O96" s="2">
        <v>225</v>
      </c>
      <c r="P96" s="9"/>
      <c r="Q96" s="2">
        <f>SUM(OSRRefD21_17_1x)+IFERROR(SUM(OSRRefE21_17_1x),0)</f>
        <v>5294.94</v>
      </c>
    </row>
    <row r="97" spans="1:17" s="35" customFormat="1" collapsed="1" x14ac:dyDescent="0.3">
      <c r="A97" s="34"/>
      <c r="B97" s="14" t="str">
        <f>CONCATENATE("     ","Training                                          ")</f>
        <v xml:space="preserve">     Training                                          </v>
      </c>
      <c r="C97" s="14"/>
      <c r="D97" s="1">
        <f>SUM(OSRRefD21_18x_0)</f>
        <v>0</v>
      </c>
      <c r="E97" s="1">
        <f>SUM(OSRRefD21_18x_1)</f>
        <v>0</v>
      </c>
      <c r="F97" s="1">
        <f>SUM(OSRRefD21_18x_2)</f>
        <v>0</v>
      </c>
      <c r="G97" s="1">
        <f>SUM(OSRRefD21_18x_3)</f>
        <v>0</v>
      </c>
      <c r="H97" s="1">
        <f>SUM(OSRRefD21_18x_4)</f>
        <v>0</v>
      </c>
      <c r="I97" s="1">
        <f>SUM(OSRRefD21_18x_5)</f>
        <v>0</v>
      </c>
      <c r="J97" s="1">
        <f>SUM(OSRRefE21_18x_0)</f>
        <v>1060</v>
      </c>
      <c r="K97" s="1">
        <f>SUM(OSRRefE21_18x_1)</f>
        <v>0</v>
      </c>
      <c r="L97" s="1">
        <f>SUM(OSRRefE21_18x_2)</f>
        <v>3300</v>
      </c>
      <c r="M97" s="1">
        <f>SUM(OSRRefE21_18x_3)</f>
        <v>0</v>
      </c>
      <c r="N97" s="1">
        <f>SUM(OSRRefE21_18x_4)</f>
        <v>0</v>
      </c>
      <c r="O97" s="1">
        <f>SUM(OSRRefE21_18x_5)</f>
        <v>0</v>
      </c>
      <c r="Q97" s="2">
        <f>SUM(OSRRefD20_18x)+IFERROR(SUM(OSRRefE20_18x),0)</f>
        <v>4360</v>
      </c>
    </row>
    <row r="98" spans="1:17" s="35" customFormat="1" hidden="1" outlineLevel="1" x14ac:dyDescent="0.3">
      <c r="A98" s="34"/>
      <c r="B98" s="10" t="str">
        <f>CONCATENATE("          ","6376", " - ","TRAINING")</f>
        <v xml:space="preserve">          6376 - TRAINING</v>
      </c>
      <c r="C98" s="14"/>
      <c r="D98" s="2"/>
      <c r="E98" s="2"/>
      <c r="F98" s="2"/>
      <c r="G98" s="2"/>
      <c r="H98" s="2"/>
      <c r="I98" s="2"/>
      <c r="J98" s="2">
        <v>1060</v>
      </c>
      <c r="K98" s="2"/>
      <c r="L98" s="2">
        <v>3300</v>
      </c>
      <c r="M98" s="2"/>
      <c r="N98" s="2"/>
      <c r="O98" s="2"/>
      <c r="P98" s="9"/>
      <c r="Q98" s="2">
        <f>SUM(OSRRefD21_18_0x)+IFERROR(SUM(OSRRefE21_18_0x),0)</f>
        <v>4360</v>
      </c>
    </row>
    <row r="99" spans="1:17" s="35" customFormat="1" collapsed="1" x14ac:dyDescent="0.3">
      <c r="A99" s="34"/>
      <c r="B99" s="14" t="str">
        <f>CONCATENATE("     ","Travel                                            ")</f>
        <v xml:space="preserve">     Travel                                            </v>
      </c>
      <c r="C99" s="14"/>
      <c r="D99" s="1">
        <f>SUM(OSRRefD21_19x_0)</f>
        <v>0</v>
      </c>
      <c r="E99" s="1">
        <f>SUM(OSRRefD21_19x_1)</f>
        <v>0</v>
      </c>
      <c r="F99" s="1">
        <f>SUM(OSRRefD21_19x_2)</f>
        <v>0</v>
      </c>
      <c r="G99" s="1">
        <f>SUM(OSRRefD21_19x_3)</f>
        <v>0</v>
      </c>
      <c r="H99" s="1">
        <f>SUM(OSRRefD21_19x_4)</f>
        <v>18.59</v>
      </c>
      <c r="I99" s="1">
        <f>SUM(OSRRefD21_19x_5)</f>
        <v>0</v>
      </c>
      <c r="J99" s="1">
        <f>SUM(OSRRefE21_19x_0)</f>
        <v>0</v>
      </c>
      <c r="K99" s="1">
        <f>SUM(OSRRefE21_19x_1)</f>
        <v>600</v>
      </c>
      <c r="L99" s="1">
        <f>SUM(OSRRefE21_19x_2)</f>
        <v>600</v>
      </c>
      <c r="M99" s="1">
        <f>SUM(OSRRefE21_19x_3)</f>
        <v>0</v>
      </c>
      <c r="N99" s="1">
        <f>SUM(OSRRefE21_19x_4)</f>
        <v>0</v>
      </c>
      <c r="O99" s="1">
        <f>SUM(OSRRefE21_19x_5)</f>
        <v>0</v>
      </c>
      <c r="Q99" s="2">
        <f>SUM(OSRRefD20_19x)+IFERROR(SUM(OSRRefE20_19x),0)</f>
        <v>1218.5899999999999</v>
      </c>
    </row>
    <row r="100" spans="1:17" s="35" customFormat="1" hidden="1" outlineLevel="1" x14ac:dyDescent="0.3">
      <c r="A100" s="34"/>
      <c r="B100" s="10" t="str">
        <f>CONCATENATE("          ","6292", " - ","TRAVEL/CONFERENCE")</f>
        <v xml:space="preserve">          6292 - TRAVEL/CONFERENCE</v>
      </c>
      <c r="C100" s="14"/>
      <c r="D100" s="2"/>
      <c r="E100" s="2"/>
      <c r="F100" s="2"/>
      <c r="G100" s="2"/>
      <c r="H100" s="2">
        <v>18.59</v>
      </c>
      <c r="I100" s="2"/>
      <c r="J100" s="2"/>
      <c r="K100" s="2">
        <v>600</v>
      </c>
      <c r="L100" s="2">
        <v>600</v>
      </c>
      <c r="M100" s="2"/>
      <c r="N100" s="2"/>
      <c r="O100" s="2"/>
      <c r="P100" s="9"/>
      <c r="Q100" s="2">
        <f>SUM(OSRRefD21_19_0x)+IFERROR(SUM(OSRRefE21_19_0x),0)</f>
        <v>1218.5899999999999</v>
      </c>
    </row>
    <row r="101" spans="1:17" s="35" customFormat="1" collapsed="1" x14ac:dyDescent="0.3">
      <c r="A101" s="34"/>
      <c r="B101" s="14" t="str">
        <f>CONCATENATE("     ","Utilities                                         ")</f>
        <v xml:space="preserve">     Utilities                                         </v>
      </c>
      <c r="C101" s="14"/>
      <c r="D101" s="1">
        <f>SUM(OSRRefD21_20x_0)</f>
        <v>8150</v>
      </c>
      <c r="E101" s="1">
        <f>SUM(OSRRefD21_20x_1)</f>
        <v>8150</v>
      </c>
      <c r="F101" s="1">
        <f>SUM(OSRRefD21_20x_2)</f>
        <v>8150</v>
      </c>
      <c r="G101" s="1">
        <f>SUM(OSRRefD21_20x_3)</f>
        <v>5750</v>
      </c>
      <c r="H101" s="1">
        <f>SUM(OSRRefD21_20x_4)</f>
        <v>8150</v>
      </c>
      <c r="I101" s="1">
        <f>SUM(OSRRefD21_20x_5)</f>
        <v>8150</v>
      </c>
      <c r="J101" s="1">
        <f>SUM(OSRRefE21_20x_0)</f>
        <v>8667</v>
      </c>
      <c r="K101" s="1">
        <f>SUM(OSRRefE21_20x_1)</f>
        <v>8667</v>
      </c>
      <c r="L101" s="1">
        <f>SUM(OSRRefE21_20x_2)</f>
        <v>8667</v>
      </c>
      <c r="M101" s="1">
        <f>SUM(OSRRefE21_20x_3)</f>
        <v>8667</v>
      </c>
      <c r="N101" s="1">
        <f>SUM(OSRRefE21_20x_4)</f>
        <v>8667</v>
      </c>
      <c r="O101" s="1">
        <f>SUM(OSRRefE21_20x_5)</f>
        <v>8663</v>
      </c>
      <c r="Q101" s="2">
        <f>SUM(OSRRefD20_20x)+IFERROR(SUM(OSRRefE20_20x),0)</f>
        <v>98498</v>
      </c>
    </row>
    <row r="102" spans="1:17" s="35" customFormat="1" hidden="1" outlineLevel="1" x14ac:dyDescent="0.3">
      <c r="A102" s="34"/>
      <c r="B102" s="10" t="str">
        <f>CONCATENATE("          ","6274", " - ","UTILITIES")</f>
        <v xml:space="preserve">          6274 - UTILITIES</v>
      </c>
      <c r="C102" s="14"/>
      <c r="D102" s="2">
        <v>8150</v>
      </c>
      <c r="E102" s="2">
        <v>8150</v>
      </c>
      <c r="F102" s="2">
        <v>8150</v>
      </c>
      <c r="G102" s="2">
        <v>5750</v>
      </c>
      <c r="H102" s="2">
        <v>8150</v>
      </c>
      <c r="I102" s="2">
        <v>8150</v>
      </c>
      <c r="J102" s="2">
        <v>8667</v>
      </c>
      <c r="K102" s="2">
        <v>8667</v>
      </c>
      <c r="L102" s="2">
        <v>8667</v>
      </c>
      <c r="M102" s="2">
        <v>8667</v>
      </c>
      <c r="N102" s="2">
        <v>8667</v>
      </c>
      <c r="O102" s="2">
        <v>8663</v>
      </c>
      <c r="P102" s="9"/>
      <c r="Q102" s="2">
        <f>SUM(OSRRefD21_20_0x)+IFERROR(SUM(OSRRefE21_20_0x),0)</f>
        <v>98498</v>
      </c>
    </row>
    <row r="103" spans="1:17" s="29" customFormat="1" x14ac:dyDescent="0.3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3">
      <c r="A104" s="23"/>
      <c r="B104" s="16" t="s">
        <v>293</v>
      </c>
      <c r="C104" s="22"/>
      <c r="D104" s="3">
        <f>--2655.42</f>
        <v>2655.42</v>
      </c>
      <c r="E104" s="3">
        <f>--11546.83</f>
        <v>11546.83</v>
      </c>
      <c r="F104" s="3">
        <f>--2991.8</f>
        <v>2991.8</v>
      </c>
      <c r="G104" s="3">
        <f>--6812.67</f>
        <v>6812.67</v>
      </c>
      <c r="H104" s="3">
        <f>--6011.63</f>
        <v>6011.63</v>
      </c>
      <c r="I104" s="3">
        <f>--104600.16</f>
        <v>104600.16</v>
      </c>
      <c r="J104" s="3">
        <v>46218.59</v>
      </c>
      <c r="K104" s="3">
        <v>37154.720000000001</v>
      </c>
      <c r="L104" s="3">
        <v>21607.09</v>
      </c>
      <c r="M104" s="3">
        <v>28752.13</v>
      </c>
      <c r="N104" s="3">
        <v>29120.49</v>
      </c>
      <c r="O104" s="3">
        <v>12000</v>
      </c>
      <c r="Q104" s="2">
        <f>SUM(OSRRefD23_0x)+IFERROR(SUM(OSRRefE23_0x),0)</f>
        <v>309471.53000000003</v>
      </c>
    </row>
    <row r="105" spans="1:17" x14ac:dyDescent="0.3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6"/>
      <c r="B106" s="17" t="s">
        <v>276</v>
      </c>
      <c r="C106" s="17"/>
      <c r="D106" s="7">
        <f t="shared" ref="D106:O106" si="5">IFERROR(+D22-D25+D104, 0)</f>
        <v>-128552.78000000001</v>
      </c>
      <c r="E106" s="7">
        <f t="shared" si="5"/>
        <v>-151630.51</v>
      </c>
      <c r="F106" s="7">
        <f t="shared" si="5"/>
        <v>-91915.949999999968</v>
      </c>
      <c r="G106" s="7">
        <f t="shared" si="5"/>
        <v>-99954.03999999995</v>
      </c>
      <c r="H106" s="7">
        <f t="shared" si="5"/>
        <v>-98959.03</v>
      </c>
      <c r="I106" s="7">
        <f t="shared" si="5"/>
        <v>-13223.22000000003</v>
      </c>
      <c r="J106" s="7">
        <f t="shared" si="5"/>
        <v>-59234.743444165651</v>
      </c>
      <c r="K106" s="7">
        <f t="shared" si="5"/>
        <v>82431.415721497004</v>
      </c>
      <c r="L106" s="7">
        <f t="shared" si="5"/>
        <v>56206.016076474771</v>
      </c>
      <c r="M106" s="7">
        <f t="shared" si="5"/>
        <v>48991.451425842039</v>
      </c>
      <c r="N106" s="7">
        <f t="shared" si="5"/>
        <v>-2486.0054040126161</v>
      </c>
      <c r="O106" s="7">
        <f t="shared" si="5"/>
        <v>-93343.632873863709</v>
      </c>
      <c r="Q106" s="7">
        <f>IFERROR(+Q22-Q25+Q104, 0)</f>
        <v>-551671.02849822794</v>
      </c>
    </row>
    <row r="107" spans="1:17" s="6" customFormat="1" x14ac:dyDescent="0.3">
      <c r="B107" s="16"/>
      <c r="C107" s="16"/>
      <c r="D107" s="4">
        <f t="shared" ref="D107:O107" si="6">IFERROR(D106/D10, 0)</f>
        <v>-6.5247567417221646</v>
      </c>
      <c r="E107" s="4">
        <f t="shared" si="6"/>
        <v>-2.9004222937915336</v>
      </c>
      <c r="F107" s="4">
        <f t="shared" si="6"/>
        <v>-0.70614733254766604</v>
      </c>
      <c r="G107" s="4">
        <f t="shared" si="6"/>
        <v>-0.55363915098062699</v>
      </c>
      <c r="H107" s="4">
        <f t="shared" si="6"/>
        <v>-0.96719140442240292</v>
      </c>
      <c r="I107" s="4">
        <f t="shared" si="6"/>
        <v>-0.12726153007525012</v>
      </c>
      <c r="J107" s="4">
        <f t="shared" si="6"/>
        <v>-0.39091357723053444</v>
      </c>
      <c r="K107" s="4">
        <f t="shared" si="6"/>
        <v>0.20880977110985946</v>
      </c>
      <c r="L107" s="4">
        <f t="shared" si="6"/>
        <v>0.15039243964603971</v>
      </c>
      <c r="M107" s="4">
        <f t="shared" si="6"/>
        <v>0.12683870919311854</v>
      </c>
      <c r="N107" s="4">
        <f t="shared" si="6"/>
        <v>-1.0109164934419134E-2</v>
      </c>
      <c r="O107" s="4">
        <f t="shared" si="6"/>
        <v>-1.1036657311041396</v>
      </c>
      <c r="P107" s="18"/>
      <c r="Q107" s="4">
        <f>IFERROR(Q106/Q10, 0)</f>
        <v>-0.24786669828592275</v>
      </c>
    </row>
    <row r="108" spans="1:17" x14ac:dyDescent="0.3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25"/>
      <c r="B109" s="6" t="s">
        <v>125</v>
      </c>
      <c r="C109" s="6"/>
      <c r="D109" s="3">
        <v>9102.39</v>
      </c>
      <c r="E109" s="3">
        <v>1653.96</v>
      </c>
      <c r="F109" s="3">
        <v>14264.46</v>
      </c>
      <c r="G109" s="3">
        <v>19214.59</v>
      </c>
      <c r="H109" s="3">
        <v>13534.08</v>
      </c>
      <c r="I109" s="3">
        <v>13117.89</v>
      </c>
      <c r="J109" s="3">
        <v>16900</v>
      </c>
      <c r="K109" s="3">
        <v>46273</v>
      </c>
      <c r="L109" s="3">
        <v>45026</v>
      </c>
      <c r="M109" s="3">
        <v>49265</v>
      </c>
      <c r="N109" s="3">
        <v>32195</v>
      </c>
      <c r="O109" s="3">
        <v>-12096</v>
      </c>
      <c r="Q109" s="2">
        <f>SUM(OSRRefD28_0x)+IFERROR(SUM(OSRRefE28_0x),0)</f>
        <v>248450.37</v>
      </c>
    </row>
    <row r="110" spans="1:17" x14ac:dyDescent="0.3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124</v>
      </c>
      <c r="C111" s="17"/>
      <c r="D111" s="8">
        <f t="shared" ref="D111:O111" si="7">IFERROR(+D106-D109, 0)</f>
        <v>-137655.17000000001</v>
      </c>
      <c r="E111" s="8">
        <f t="shared" si="7"/>
        <v>-153284.47</v>
      </c>
      <c r="F111" s="8">
        <f t="shared" si="7"/>
        <v>-106180.40999999997</v>
      </c>
      <c r="G111" s="8">
        <f t="shared" si="7"/>
        <v>-119168.62999999995</v>
      </c>
      <c r="H111" s="8">
        <f t="shared" si="7"/>
        <v>-112493.11</v>
      </c>
      <c r="I111" s="8">
        <f t="shared" si="7"/>
        <v>-26341.11000000003</v>
      </c>
      <c r="J111" s="8">
        <f t="shared" si="7"/>
        <v>-76134.743444165651</v>
      </c>
      <c r="K111" s="8">
        <f t="shared" si="7"/>
        <v>36158.415721497004</v>
      </c>
      <c r="L111" s="8">
        <f t="shared" si="7"/>
        <v>11180.016076474771</v>
      </c>
      <c r="M111" s="8">
        <f t="shared" si="7"/>
        <v>-273.54857415796141</v>
      </c>
      <c r="N111" s="8">
        <f t="shared" si="7"/>
        <v>-34681.005404012612</v>
      </c>
      <c r="O111" s="8">
        <f t="shared" si="7"/>
        <v>-81247.632873863709</v>
      </c>
      <c r="Q111" s="8">
        <f>IFERROR(+Q106-Q109, 0)</f>
        <v>-800121.39849822794</v>
      </c>
    </row>
    <row r="112" spans="1:17" ht="15" thickTop="1" x14ac:dyDescent="0.3">
      <c r="A112" s="5"/>
      <c r="B112" s="5"/>
      <c r="C112" s="5"/>
      <c r="D112" s="4">
        <f t="shared" ref="D112:O112" si="8">IFERROR(D111/D10, 0)</f>
        <v>-6.9867528223847879</v>
      </c>
      <c r="E112" s="4">
        <f t="shared" si="8"/>
        <v>-2.9320596104307737</v>
      </c>
      <c r="F112" s="4">
        <f t="shared" si="8"/>
        <v>-0.81573451931158336</v>
      </c>
      <c r="G112" s="4">
        <f t="shared" si="8"/>
        <v>-0.66006755841709319</v>
      </c>
      <c r="H112" s="4">
        <f t="shared" si="8"/>
        <v>-1.0994688311793666</v>
      </c>
      <c r="I112" s="4">
        <f t="shared" si="8"/>
        <v>-0.25350935418759329</v>
      </c>
      <c r="J112" s="4">
        <f t="shared" si="8"/>
        <v>-0.50244338340624994</v>
      </c>
      <c r="K112" s="4">
        <f t="shared" si="8"/>
        <v>9.1594090000955003E-2</v>
      </c>
      <c r="L112" s="4">
        <f t="shared" si="8"/>
        <v>2.9914767321976007E-2</v>
      </c>
      <c r="M112" s="4">
        <f t="shared" si="8"/>
        <v>-7.0821637322449559E-4</v>
      </c>
      <c r="N112" s="4">
        <f t="shared" si="8"/>
        <v>-0.14102785261639184</v>
      </c>
      <c r="O112" s="4">
        <f t="shared" si="8"/>
        <v>-0.9606464348498831</v>
      </c>
      <c r="P112" s="18"/>
      <c r="Q112" s="4">
        <f>IFERROR(Q111/Q10, 0)</f>
        <v>-0.35949585718422022</v>
      </c>
    </row>
    <row r="113" spans="1:17" x14ac:dyDescent="0.3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" thickBot="1" x14ac:dyDescent="0.35">
      <c r="A115" s="6"/>
      <c r="B115" s="17" t="s">
        <v>294</v>
      </c>
      <c r="C115" s="17"/>
      <c r="D115" s="8">
        <f t="shared" ref="D115:O115" si="9">IFERROR(SUM(D111:D114), 0)</f>
        <v>-137662.1567528224</v>
      </c>
      <c r="E115" s="8">
        <f t="shared" si="9"/>
        <v>-153287.40205961044</v>
      </c>
      <c r="F115" s="8">
        <f t="shared" si="9"/>
        <v>-106181.22573451929</v>
      </c>
      <c r="G115" s="8">
        <f t="shared" si="9"/>
        <v>-119169.29006755837</v>
      </c>
      <c r="H115" s="8">
        <f t="shared" si="9"/>
        <v>-112494.20946883118</v>
      </c>
      <c r="I115" s="8">
        <f t="shared" si="9"/>
        <v>-26341.363509354218</v>
      </c>
      <c r="J115" s="8">
        <f t="shared" si="9"/>
        <v>-76135.245887549056</v>
      </c>
      <c r="K115" s="8">
        <f t="shared" si="9"/>
        <v>36158.507315587005</v>
      </c>
      <c r="L115" s="8">
        <f t="shared" si="9"/>
        <v>11180.045991242092</v>
      </c>
      <c r="M115" s="8">
        <f t="shared" si="9"/>
        <v>-273.54928237433461</v>
      </c>
      <c r="N115" s="8">
        <f t="shared" si="9"/>
        <v>-34681.146431865229</v>
      </c>
      <c r="O115" s="8">
        <f t="shared" si="9"/>
        <v>-81248.593520298557</v>
      </c>
      <c r="Q115" s="8">
        <f>IFERROR(SUM(Q111:Q114), 0)</f>
        <v>-800121.75799408508</v>
      </c>
    </row>
    <row r="116" spans="1:17" ht="15" thickTop="1" x14ac:dyDescent="0.3">
      <c r="A116" s="5"/>
      <c r="C116" s="5"/>
      <c r="D116" s="4">
        <f t="shared" ref="D116:O116" si="10">IFERROR(D115/D10, 0)</f>
        <v>-6.9871074383065954</v>
      </c>
      <c r="E116" s="4">
        <f t="shared" si="10"/>
        <v>-2.932115695522493</v>
      </c>
      <c r="F116" s="4">
        <f t="shared" si="10"/>
        <v>-0.81574078621906665</v>
      </c>
      <c r="G116" s="4">
        <f t="shared" si="10"/>
        <v>-0.66007121448985062</v>
      </c>
      <c r="H116" s="4">
        <f t="shared" si="10"/>
        <v>-1.0994795770082508</v>
      </c>
      <c r="I116" s="4">
        <f t="shared" si="10"/>
        <v>-0.25351179398578938</v>
      </c>
      <c r="J116" s="4">
        <f t="shared" si="10"/>
        <v>-0.50244669922951424</v>
      </c>
      <c r="K116" s="4">
        <f t="shared" si="10"/>
        <v>9.159432202100222E-2</v>
      </c>
      <c r="L116" s="4">
        <f t="shared" si="10"/>
        <v>2.9914847365984688E-2</v>
      </c>
      <c r="M116" s="4">
        <f t="shared" si="10"/>
        <v>-7.0821820679439383E-4</v>
      </c>
      <c r="N116" s="4">
        <f t="shared" si="10"/>
        <v>-0.14102842609616792</v>
      </c>
      <c r="O116" s="4">
        <f t="shared" si="10"/>
        <v>-0.96065779323092315</v>
      </c>
      <c r="P116" s="18"/>
      <c r="Q116" s="4">
        <f>IFERROR(Q115/Q10, 0)</f>
        <v>-0.35949601870629866</v>
      </c>
    </row>
    <row r="117" spans="1:17" x14ac:dyDescent="0.3">
      <c r="A117" s="5"/>
      <c r="B117" s="28">
        <v>44575.850671412038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Q117" s="13"/>
    </row>
    <row r="118" spans="1:17" x14ac:dyDescent="0.3">
      <c r="A118" s="5"/>
      <c r="B118" s="26" t="s">
        <v>54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Q118" s="13"/>
    </row>
    <row r="119" spans="1:17" x14ac:dyDescent="0.3">
      <c r="A119" s="5"/>
      <c r="B119" s="3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Q119" s="13"/>
    </row>
    <row r="120" spans="1:17" x14ac:dyDescent="0.3"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","405", " - ", "Caffeine Lab")</f>
        <v>Department 405 - Caffeine Lab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15362.75</v>
      </c>
      <c r="F10" s="3">
        <f>SUM(OSRRefD11x_2)</f>
        <v>65851.209999999992</v>
      </c>
      <c r="G10" s="3">
        <f>SUM(OSRRefD11x_3)</f>
        <v>87810.260000000009</v>
      </c>
      <c r="H10" s="3">
        <f>SUM(OSRRefD11x_4)</f>
        <v>46287.99</v>
      </c>
      <c r="I10" s="3">
        <f>SUM(OSRRefD11x_5)</f>
        <v>51547.820000000007</v>
      </c>
      <c r="J10" s="3">
        <f>SUM(OSRRefE11x_0)</f>
        <v>30508</v>
      </c>
      <c r="K10" s="3">
        <f>SUM(OSRRefE11x_1)</f>
        <v>87554</v>
      </c>
      <c r="L10" s="3">
        <f>SUM(OSRRefE11x_2)</f>
        <v>84222</v>
      </c>
      <c r="M10" s="3">
        <f>SUM(OSRRefE11x_3)</f>
        <v>83684</v>
      </c>
      <c r="N10" s="3">
        <f>SUM(OSRRefE11x_4)</f>
        <v>59955</v>
      </c>
      <c r="O10" s="3">
        <f>SUM(OSRRefE11x_5)</f>
        <v>14389</v>
      </c>
      <c r="P10" s="24"/>
      <c r="Q10" s="3">
        <f>SUM(OSRRefG11x)</f>
        <v>627172.03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 t="shared" ref="E11:I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6389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75453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 t="shared" si="0"/>
        <v>0</v>
      </c>
      <c r="E12" s="2">
        <f>--2269.66</f>
        <v>2269.66</v>
      </c>
      <c r="F12" s="2">
        <f>--9000.69</f>
        <v>9000.69</v>
      </c>
      <c r="G12" s="2">
        <f>--6578.16</f>
        <v>6578.16</v>
      </c>
      <c r="H12" s="2">
        <f>--2650.64</f>
        <v>2650.64</v>
      </c>
      <c r="I12" s="2">
        <f>--2926.84</f>
        <v>2926.84</v>
      </c>
      <c r="J12" s="2"/>
      <c r="K12" s="2"/>
      <c r="L12" s="2"/>
      <c r="M12" s="2"/>
      <c r="N12" s="2"/>
      <c r="O12" s="2"/>
      <c r="Q12" s="2">
        <f>SUM(OSRRefD11_1x)+IFERROR(SUM(OSRRefE11_1x),0)</f>
        <v>23425.99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 t="shared" ref="E13:I13" si="2">0</f>
        <v>0</v>
      </c>
      <c r="F13" s="2">
        <f t="shared" si="2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v>24119</v>
      </c>
      <c r="K13" s="2">
        <v>69219</v>
      </c>
      <c r="L13" s="2">
        <v>66585</v>
      </c>
      <c r="M13" s="2">
        <v>66160</v>
      </c>
      <c r="N13" s="2">
        <v>47400</v>
      </c>
      <c r="O13" s="2">
        <v>11376</v>
      </c>
      <c r="Q13" s="2">
        <f>SUM(OSRRefD11_2x)+IFERROR(SUM(OSRRefE11_2x),0)</f>
        <v>284859</v>
      </c>
    </row>
    <row r="14" spans="1:18" s="9" customFormat="1" hidden="1" outlineLevel="1" x14ac:dyDescent="0.3">
      <c r="A14" s="23"/>
      <c r="B14" s="10" t="str">
        <f>CONCATENATE("          ","4151", " - ","NON-TAXABLE SALES-FOOD")</f>
        <v xml:space="preserve">          4151 - NON-TAXABLE SALES-FOOD</v>
      </c>
      <c r="C14" s="22"/>
      <c r="D14" s="2">
        <f t="shared" si="0"/>
        <v>0</v>
      </c>
      <c r="E14" s="2">
        <f>--13093.09</f>
        <v>13093.09</v>
      </c>
      <c r="F14" s="2">
        <f>--56850.52</f>
        <v>56850.52</v>
      </c>
      <c r="G14" s="2">
        <f>--81232.1</f>
        <v>81232.100000000006</v>
      </c>
      <c r="H14" s="2">
        <f>--43637.35</f>
        <v>43637.35</v>
      </c>
      <c r="I14" s="2">
        <f>--48620.98</f>
        <v>48620.98</v>
      </c>
      <c r="J14" s="2"/>
      <c r="K14" s="2"/>
      <c r="L14" s="2"/>
      <c r="M14" s="2"/>
      <c r="N14" s="2"/>
      <c r="O14" s="2"/>
      <c r="Q14" s="2">
        <f>SUM(OSRRefD11_3x)+IFERROR(SUM(OSRRefE11_3x),0)</f>
        <v>243434.04000000004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5838.27</v>
      </c>
      <c r="F16" s="3">
        <f>SUM(OSRRefD14x_2)</f>
        <v>25022.690000000002</v>
      </c>
      <c r="G16" s="3">
        <f>SUM(OSRRefD14x_3)</f>
        <v>38243.760000000002</v>
      </c>
      <c r="H16" s="3">
        <f>SUM(OSRRefD14x_4)</f>
        <v>20948.899999999998</v>
      </c>
      <c r="I16" s="3">
        <f>SUM(OSRRefD14x_5)</f>
        <v>22161.129999999997</v>
      </c>
      <c r="J16" s="3">
        <f>SUM(OSRRefE14x_0)</f>
        <v>11593</v>
      </c>
      <c r="K16" s="3">
        <f>SUM(OSRRefE14x_1)</f>
        <v>33270</v>
      </c>
      <c r="L16" s="3">
        <f>SUM(OSRRefE14x_2)</f>
        <v>32004</v>
      </c>
      <c r="M16" s="3">
        <f>SUM(OSRRefE14x_3)</f>
        <v>31800</v>
      </c>
      <c r="N16" s="3">
        <f>SUM(OSRRefE14x_4)</f>
        <v>22783</v>
      </c>
      <c r="O16" s="3">
        <f>SUM(OSRRefE14x_5)</f>
        <v>5468</v>
      </c>
      <c r="Q16" s="3">
        <f>SUM(OSRRefG14x)</f>
        <v>249132.75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11593</v>
      </c>
      <c r="K17" s="2">
        <v>33270</v>
      </c>
      <c r="L17" s="2">
        <v>32004</v>
      </c>
      <c r="M17" s="2">
        <v>31800</v>
      </c>
      <c r="N17" s="2">
        <v>22783</v>
      </c>
      <c r="O17" s="2">
        <v>5468</v>
      </c>
      <c r="Q17" s="2">
        <f>SUM(OSRRefD14_0x)+IFERROR(SUM(OSRRefE14_0x),0)</f>
        <v>136918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19561.27</v>
      </c>
      <c r="F18" s="2">
        <v>17188.09</v>
      </c>
      <c r="G18" s="2">
        <v>30333.22</v>
      </c>
      <c r="H18" s="2">
        <v>18261.009999999998</v>
      </c>
      <c r="I18" s="2">
        <v>8751.92</v>
      </c>
      <c r="J18" s="2"/>
      <c r="K18" s="2"/>
      <c r="L18" s="2"/>
      <c r="M18" s="2"/>
      <c r="N18" s="2"/>
      <c r="O18" s="2"/>
      <c r="Q18" s="2">
        <f>SUM(OSRRefD14_1x)+IFERROR(SUM(OSRRefE14_1x),0)</f>
        <v>94095.51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-13723</v>
      </c>
      <c r="F19" s="2">
        <v>7834.6</v>
      </c>
      <c r="G19" s="2">
        <v>7910.54</v>
      </c>
      <c r="H19" s="2">
        <v>2687.89</v>
      </c>
      <c r="I19" s="2">
        <v>13409.21</v>
      </c>
      <c r="J19" s="2"/>
      <c r="K19" s="2"/>
      <c r="L19" s="2"/>
      <c r="M19" s="2"/>
      <c r="N19" s="2"/>
      <c r="O19" s="2"/>
      <c r="Q19" s="2">
        <f>SUM(OSRRefD14_2x)+IFERROR(SUM(OSRRefE14_2x),0)</f>
        <v>18119.239999999998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9524.48</v>
      </c>
      <c r="F21" s="7">
        <f t="shared" si="3"/>
        <v>40828.51999999999</v>
      </c>
      <c r="G21" s="7">
        <f t="shared" si="3"/>
        <v>49566.500000000007</v>
      </c>
      <c r="H21" s="7">
        <f t="shared" si="3"/>
        <v>25339.09</v>
      </c>
      <c r="I21" s="7">
        <f t="shared" si="3"/>
        <v>29386.69000000001</v>
      </c>
      <c r="J21" s="7">
        <f t="shared" si="3"/>
        <v>18915</v>
      </c>
      <c r="K21" s="7">
        <f t="shared" si="3"/>
        <v>54284</v>
      </c>
      <c r="L21" s="7">
        <f t="shared" si="3"/>
        <v>52218</v>
      </c>
      <c r="M21" s="7">
        <f t="shared" si="3"/>
        <v>51884</v>
      </c>
      <c r="N21" s="7">
        <f t="shared" si="3"/>
        <v>37172</v>
      </c>
      <c r="O21" s="7">
        <f t="shared" si="3"/>
        <v>8921</v>
      </c>
      <c r="Q21" s="7">
        <f>IFERROR(+Q10-Q16, 0)</f>
        <v>378039.28</v>
      </c>
    </row>
    <row r="22" spans="1:17" s="6" customFormat="1" x14ac:dyDescent="0.3">
      <c r="B22" s="16"/>
      <c r="C22" s="16"/>
      <c r="D22" s="4">
        <f t="shared" ref="D22:O22" si="4">IFERROR(D21/D10, 0)</f>
        <v>0</v>
      </c>
      <c r="E22" s="4">
        <f t="shared" si="4"/>
        <v>0.61997233568208809</v>
      </c>
      <c r="F22" s="4">
        <f t="shared" si="4"/>
        <v>0.62001168999020662</v>
      </c>
      <c r="G22" s="4">
        <f t="shared" si="4"/>
        <v>0.56447276206675623</v>
      </c>
      <c r="H22" s="4">
        <f t="shared" si="4"/>
        <v>0.54742256036609072</v>
      </c>
      <c r="I22" s="4">
        <f t="shared" si="4"/>
        <v>0.57008599005738758</v>
      </c>
      <c r="J22" s="4">
        <f t="shared" si="4"/>
        <v>0.62000131113150647</v>
      </c>
      <c r="K22" s="4">
        <f t="shared" si="4"/>
        <v>0.62000593919181302</v>
      </c>
      <c r="L22" s="4">
        <f t="shared" si="4"/>
        <v>0.62000427441761063</v>
      </c>
      <c r="M22" s="4">
        <f t="shared" si="4"/>
        <v>0.6199990440227523</v>
      </c>
      <c r="N22" s="4">
        <f t="shared" si="4"/>
        <v>0.61999833208239508</v>
      </c>
      <c r="O22" s="4">
        <f t="shared" si="4"/>
        <v>0.61998749044408918</v>
      </c>
      <c r="P22" s="18"/>
      <c r="Q22" s="4">
        <f>IFERROR(Q21/Q10, 0)</f>
        <v>0.60276807943747113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13284.030000000002</v>
      </c>
      <c r="E24" s="12">
        <f>SUM(OSRRefD20x_1)</f>
        <v>29201.399999999998</v>
      </c>
      <c r="F24" s="12">
        <f>SUM(OSRRefD20x_2)</f>
        <v>36986.620000000003</v>
      </c>
      <c r="G24" s="12">
        <f>SUM(OSRRefD20x_3)</f>
        <v>45456.770000000004</v>
      </c>
      <c r="H24" s="12">
        <f>SUM(OSRRefD20x_4)</f>
        <v>34887.849999999991</v>
      </c>
      <c r="I24" s="12">
        <f>SUM(OSRRefD20x_5)</f>
        <v>35475.629999999997</v>
      </c>
      <c r="J24" s="12">
        <f>SUM(OSRRefE20x_0)</f>
        <v>36595.223972307693</v>
      </c>
      <c r="K24" s="12">
        <f>SUM(OSRRefE20x_1)</f>
        <v>42852.71597784615</v>
      </c>
      <c r="L24" s="12">
        <f>SUM(OSRRefE20x_2)</f>
        <v>40826.971977846151</v>
      </c>
      <c r="M24" s="12">
        <f>SUM(OSRRefE20x_3)</f>
        <v>42784.477572307696</v>
      </c>
      <c r="N24" s="12">
        <f>SUM(OSRRefE20x_4)</f>
        <v>34389.386377846153</v>
      </c>
      <c r="O24" s="12">
        <f>SUM(OSRRefE20x_5)</f>
        <v>25762.653577846155</v>
      </c>
      <c r="Q24" s="12">
        <f>SUM(OSRRefG20x)</f>
        <v>418503.72945599997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1243.8900000000001</v>
      </c>
      <c r="E25" s="1">
        <f>SUM(OSRRefD21_0x_1)</f>
        <v>3007.4900000000002</v>
      </c>
      <c r="F25" s="1">
        <f>SUM(OSRRefD21_0x_2)</f>
        <v>3444.52</v>
      </c>
      <c r="G25" s="1">
        <f>SUM(OSRRefD21_0x_3)</f>
        <v>6602.42</v>
      </c>
      <c r="H25" s="1">
        <f>SUM(OSRRefD21_0x_4)</f>
        <v>5263.17</v>
      </c>
      <c r="I25" s="1">
        <f>SUM(OSRRefD21_0x_5)</f>
        <v>5445.84</v>
      </c>
      <c r="J25" s="1">
        <f>SUM(OSRRefE21_0x_0)</f>
        <v>4474.4476453846146</v>
      </c>
      <c r="K25" s="1">
        <f>SUM(OSRRefE21_0x_1)</f>
        <v>4598.9500163076918</v>
      </c>
      <c r="L25" s="1">
        <f>SUM(OSRRefE21_0x_2)</f>
        <v>4506.8230163076923</v>
      </c>
      <c r="M25" s="1">
        <f>SUM(OSRRefE21_0x_3)</f>
        <v>4840.4839453846162</v>
      </c>
      <c r="N25" s="1">
        <f>SUM(OSRRefE21_0x_4)</f>
        <v>4135.9182163076921</v>
      </c>
      <c r="O25" s="1">
        <f>SUM(OSRRefE21_0x_5)</f>
        <v>3684.570816307692</v>
      </c>
      <c r="Q25" s="2">
        <f>SUM(OSRRefD20_0x)+IFERROR(SUM(OSRRefE20_0x),0)</f>
        <v>51248.52365599999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247.14</v>
      </c>
      <c r="E26" s="2">
        <v>863.72</v>
      </c>
      <c r="F26" s="2">
        <v>732.92</v>
      </c>
      <c r="G26" s="2">
        <v>1166.95</v>
      </c>
      <c r="H26" s="2">
        <v>781.67</v>
      </c>
      <c r="I26" s="2">
        <v>885.81</v>
      </c>
      <c r="J26" s="2">
        <v>459.10935692307697</v>
      </c>
      <c r="K26" s="2">
        <v>367.28748553846202</v>
      </c>
      <c r="L26" s="2">
        <v>367.28748553846202</v>
      </c>
      <c r="M26" s="2">
        <v>459.10935692307697</v>
      </c>
      <c r="N26" s="2">
        <v>367.28748553846202</v>
      </c>
      <c r="O26" s="2">
        <v>367.28748553846202</v>
      </c>
      <c r="P26" s="9"/>
      <c r="Q26" s="2">
        <f>SUM(OSRRefD21_0_0x)+IFERROR(SUM(OSRRefE21_0_0x),0)</f>
        <v>7065.5786560000033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116.31</v>
      </c>
      <c r="E27" s="2">
        <v>394.48</v>
      </c>
      <c r="F27" s="2">
        <v>708.55</v>
      </c>
      <c r="G27" s="2">
        <v>1173.44</v>
      </c>
      <c r="H27" s="2">
        <v>700.9</v>
      </c>
      <c r="I27" s="2">
        <v>730.8</v>
      </c>
      <c r="J27" s="2">
        <v>759.318992884615</v>
      </c>
      <c r="K27" s="2">
        <v>945.30223730769205</v>
      </c>
      <c r="L27" s="2">
        <v>895.42204730769197</v>
      </c>
      <c r="M27" s="2">
        <v>957.50150388461498</v>
      </c>
      <c r="N27" s="2">
        <v>694.603591307692</v>
      </c>
      <c r="O27" s="2">
        <v>450.23121330769197</v>
      </c>
      <c r="P27" s="9"/>
      <c r="Q27" s="2">
        <f>SUM(OSRRefD21_0_1x)+IFERROR(SUM(OSRRefE21_0_1x),0)</f>
        <v>8526.8595859999987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42.95</v>
      </c>
      <c r="E28" s="2">
        <v>681.45</v>
      </c>
      <c r="F28" s="2">
        <v>685.2</v>
      </c>
      <c r="G28" s="2">
        <v>2055.31</v>
      </c>
      <c r="H28" s="2">
        <v>2055.31</v>
      </c>
      <c r="I28" s="2">
        <v>2079.61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19461.830000000002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8.4</v>
      </c>
      <c r="E29" s="2">
        <v>28.49</v>
      </c>
      <c r="F29" s="2">
        <v>51.17</v>
      </c>
      <c r="G29" s="2">
        <v>84.75</v>
      </c>
      <c r="H29" s="2">
        <v>50.62</v>
      </c>
      <c r="I29" s="2">
        <v>52.78</v>
      </c>
      <c r="J29" s="2">
        <v>42.073084038461502</v>
      </c>
      <c r="K29" s="2">
        <v>52.378224230769199</v>
      </c>
      <c r="L29" s="2">
        <v>49.614414230769199</v>
      </c>
      <c r="M29" s="2">
        <v>53.054173038461499</v>
      </c>
      <c r="N29" s="2">
        <v>38.487270230769198</v>
      </c>
      <c r="O29" s="2">
        <v>24.946848230769199</v>
      </c>
      <c r="P29" s="9"/>
      <c r="Q29" s="2">
        <f>SUM(OSRRefD21_0_3x)+IFERROR(SUM(OSRRefE21_0_3x),0)</f>
        <v>536.76401399999986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245.21</v>
      </c>
      <c r="E30" s="2">
        <v>408.69</v>
      </c>
      <c r="F30" s="2">
        <v>408.69</v>
      </c>
      <c r="G30" s="2">
        <v>613.04</v>
      </c>
      <c r="H30" s="2">
        <v>408.69</v>
      </c>
      <c r="I30" s="2">
        <v>408.69</v>
      </c>
      <c r="J30" s="2">
        <v>515.92061538461496</v>
      </c>
      <c r="K30" s="2">
        <v>412.736492307692</v>
      </c>
      <c r="L30" s="2">
        <v>412.736492307692</v>
      </c>
      <c r="M30" s="2">
        <v>515.92061538461496</v>
      </c>
      <c r="N30" s="2">
        <v>412.736492307692</v>
      </c>
      <c r="O30" s="2">
        <v>412.736492307692</v>
      </c>
      <c r="P30" s="9"/>
      <c r="Q30" s="2">
        <f>SUM(OSRRefD21_0_4x)+IFERROR(SUM(OSRRefE21_0_4x),0)</f>
        <v>5175.7971999999972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207.3</v>
      </c>
      <c r="E32" s="2">
        <v>207.3</v>
      </c>
      <c r="F32" s="2">
        <v>268.89999999999998</v>
      </c>
      <c r="G32" s="2">
        <v>495.75</v>
      </c>
      <c r="H32" s="2">
        <v>393.94</v>
      </c>
      <c r="I32" s="2">
        <v>388.4</v>
      </c>
      <c r="J32" s="2">
        <v>179.97230769230799</v>
      </c>
      <c r="K32" s="2">
        <v>143.977846153846</v>
      </c>
      <c r="L32" s="2">
        <v>143.977846153846</v>
      </c>
      <c r="M32" s="2">
        <v>179.97230769230799</v>
      </c>
      <c r="N32" s="2">
        <v>143.977846153846</v>
      </c>
      <c r="O32" s="2">
        <v>143.977846153846</v>
      </c>
      <c r="P32" s="9"/>
      <c r="Q32" s="2">
        <f>SUM(OSRRefD21_0_6x)+IFERROR(SUM(OSRRefE21_0_6x),0)</f>
        <v>2897.4459999999999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248.36</v>
      </c>
      <c r="E33" s="2">
        <v>248.36</v>
      </c>
      <c r="F33" s="2">
        <v>322.16000000000003</v>
      </c>
      <c r="G33" s="2">
        <v>593.94000000000005</v>
      </c>
      <c r="H33" s="2">
        <v>395.22</v>
      </c>
      <c r="I33" s="2">
        <v>465.33</v>
      </c>
      <c r="J33" s="2">
        <v>541.05328846153895</v>
      </c>
      <c r="K33" s="2">
        <v>700.26773076923098</v>
      </c>
      <c r="L33" s="2">
        <v>660.78473076923103</v>
      </c>
      <c r="M33" s="2">
        <v>697.92598846153896</v>
      </c>
      <c r="N33" s="2">
        <v>501.82553076923102</v>
      </c>
      <c r="O33" s="2">
        <v>308.39093076923098</v>
      </c>
      <c r="P33" s="9"/>
      <c r="Q33" s="2">
        <f>SUM(OSRRefD21_0_7x)+IFERROR(SUM(OSRRefE21_0_7x),0)</f>
        <v>5683.6182000000026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128.22</v>
      </c>
      <c r="E34" s="2">
        <v>175</v>
      </c>
      <c r="F34" s="2">
        <v>266.93</v>
      </c>
      <c r="G34" s="2">
        <v>419.24</v>
      </c>
      <c r="H34" s="2">
        <v>476.82</v>
      </c>
      <c r="I34" s="2">
        <v>434.42</v>
      </c>
      <c r="J34" s="2"/>
      <c r="K34" s="2"/>
      <c r="L34" s="2"/>
      <c r="M34" s="2"/>
      <c r="N34" s="2"/>
      <c r="O34" s="2"/>
      <c r="P34" s="9"/>
      <c r="Q34" s="2">
        <f>SUM(OSRRefD21_0_8x)+IFERROR(SUM(OSRRefE21_0_8x),0)</f>
        <v>1900.63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4990.76</v>
      </c>
      <c r="E35" s="1">
        <f>SUM(OSRRefD21_1x_1)</f>
        <v>14283.49</v>
      </c>
      <c r="F35" s="1">
        <f>SUM(OSRRefD21_1x_2)</f>
        <v>19543.830000000002</v>
      </c>
      <c r="G35" s="1">
        <f>SUM(OSRRefD21_1x_3)</f>
        <v>25918.940000000002</v>
      </c>
      <c r="H35" s="1">
        <f>SUM(OSRRefD21_1x_4)</f>
        <v>19197.949999999997</v>
      </c>
      <c r="I35" s="1">
        <f>SUM(OSRRefD21_1x_5)</f>
        <v>19572.45</v>
      </c>
      <c r="J35" s="1">
        <f>SUM(OSRRefE21_1x_0)</f>
        <v>19313.776326923078</v>
      </c>
      <c r="K35" s="1">
        <f>SUM(OSRRefE21_1x_1)</f>
        <v>24097.765961538462</v>
      </c>
      <c r="L35" s="1">
        <f>SUM(OSRRefE21_1x_2)</f>
        <v>22821.14896153846</v>
      </c>
      <c r="M35" s="1">
        <f>SUM(OSRRefE21_1x_3)</f>
        <v>24385.993626923078</v>
      </c>
      <c r="N35" s="1">
        <f>SUM(OSRRefE21_1x_4)</f>
        <v>17681.468161538462</v>
      </c>
      <c r="O35" s="1">
        <f>SUM(OSRRefE21_1x_5)</f>
        <v>11427.082761538461</v>
      </c>
      <c r="Q35" s="2">
        <f>SUM(OSRRefD20_1x)+IFERROR(SUM(OSRRefE20_1x),0)</f>
        <v>223234.65580000001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4576.76</v>
      </c>
      <c r="E37" s="2">
        <v>5384.62</v>
      </c>
      <c r="F37" s="2">
        <v>5115.3900000000003</v>
      </c>
      <c r="G37" s="2">
        <v>6730.93</v>
      </c>
      <c r="H37" s="2">
        <v>5384.62</v>
      </c>
      <c r="I37" s="2">
        <v>4846.16</v>
      </c>
      <c r="J37" s="2">
        <v>5699.1230769230797</v>
      </c>
      <c r="K37" s="2">
        <v>4559.2984615384603</v>
      </c>
      <c r="L37" s="2">
        <v>4559.2984615384603</v>
      </c>
      <c r="M37" s="2">
        <v>5699.1230769230797</v>
      </c>
      <c r="N37" s="2">
        <v>4559.2984615384603</v>
      </c>
      <c r="O37" s="2">
        <v>4559.2984615384603</v>
      </c>
      <c r="P37" s="9"/>
      <c r="Q37" s="2">
        <f>SUM(OSRRefD21_1_1x)+IFERROR(SUM(OSRRefE21_1_1x),0)</f>
        <v>61673.919999999998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>
        <v>329.88</v>
      </c>
      <c r="F39" s="2">
        <v>953</v>
      </c>
      <c r="G39" s="2">
        <v>3004.1</v>
      </c>
      <c r="H39" s="2">
        <v>3121.85</v>
      </c>
      <c r="I39" s="2">
        <v>3669.9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11078.73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1464.81</v>
      </c>
      <c r="F40" s="2">
        <v>3168.08</v>
      </c>
      <c r="G40" s="2">
        <v>3543.18</v>
      </c>
      <c r="H40" s="2">
        <v>1355.73</v>
      </c>
      <c r="I40" s="2">
        <v>2434.35</v>
      </c>
      <c r="J40" s="2">
        <v>5292.2520999999997</v>
      </c>
      <c r="K40" s="2">
        <v>8100.8095000000003</v>
      </c>
      <c r="L40" s="2">
        <v>7501.4222499999996</v>
      </c>
      <c r="M40" s="2">
        <v>7655.5504000000001</v>
      </c>
      <c r="N40" s="2">
        <v>6665.9127500000004</v>
      </c>
      <c r="O40" s="2">
        <v>6867.7843000000003</v>
      </c>
      <c r="P40" s="9"/>
      <c r="Q40" s="2">
        <f>SUM(OSRRefD21_1_4x)+IFERROR(SUM(OSRRefE21_1_4x),0)</f>
        <v>54049.881300000001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414</v>
      </c>
      <c r="E42" s="2">
        <v>7104.18</v>
      </c>
      <c r="F42" s="2">
        <v>10307.36</v>
      </c>
      <c r="G42" s="2">
        <v>12640.73</v>
      </c>
      <c r="H42" s="2">
        <v>9335.75</v>
      </c>
      <c r="I42" s="2">
        <v>8622.0400000000009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48424.060000000005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>
        <v>8322.4011499999997</v>
      </c>
      <c r="K43" s="2">
        <v>11437.657999999999</v>
      </c>
      <c r="L43" s="2">
        <v>10760.428250000001</v>
      </c>
      <c r="M43" s="2">
        <v>11031.32015</v>
      </c>
      <c r="N43" s="2">
        <v>6456.25695</v>
      </c>
      <c r="O43" s="2">
        <v>0</v>
      </c>
      <c r="P43" s="9"/>
      <c r="Q43" s="2">
        <f>SUM(OSRRefD21_1_7x)+IFERROR(SUM(OSRRefE21_1_7x),0)</f>
        <v>48008.0645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48.14</v>
      </c>
      <c r="E46" s="1">
        <f>SUM(OSRRefD21_2x_1)</f>
        <v>27</v>
      </c>
      <c r="F46" s="1">
        <f>SUM(OSRRefD21_2x_2)</f>
        <v>134.65</v>
      </c>
      <c r="G46" s="1">
        <f>SUM(OSRRefD21_2x_3)</f>
        <v>0</v>
      </c>
      <c r="H46" s="1">
        <f>SUM(OSRRefD21_2x_4)</f>
        <v>8.4700000000000006</v>
      </c>
      <c r="I46" s="1">
        <f>SUM(OSRRefD21_2x_5)</f>
        <v>0</v>
      </c>
      <c r="J46" s="1">
        <f>SUM(OSRRefE21_2x_0)</f>
        <v>0</v>
      </c>
      <c r="K46" s="1">
        <f>SUM(OSRRefE21_2x_1)</f>
        <v>0</v>
      </c>
      <c r="L46" s="1">
        <f>SUM(OSRRefE21_2x_2)</f>
        <v>0</v>
      </c>
      <c r="M46" s="1">
        <f>SUM(OSRRefE21_2x_3)</f>
        <v>0</v>
      </c>
      <c r="N46" s="1">
        <f>SUM(OSRRefE21_2x_4)</f>
        <v>0</v>
      </c>
      <c r="O46" s="1">
        <f>SUM(OSRRefE21_2x_5)</f>
        <v>0</v>
      </c>
      <c r="Q46" s="2">
        <f>SUM(OSRRefD20_2x)+IFERROR(SUM(OSRRefE20_2x),0)</f>
        <v>218.26000000000002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48.14</v>
      </c>
      <c r="E47" s="2">
        <v>27</v>
      </c>
      <c r="F47" s="2">
        <v>134.65</v>
      </c>
      <c r="G47" s="2"/>
      <c r="H47" s="2">
        <v>8.4700000000000006</v>
      </c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218.26000000000002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-102</v>
      </c>
      <c r="F48" s="1">
        <f>SUM(OSRRefD21_3x_2)</f>
        <v>7.49</v>
      </c>
      <c r="G48" s="1">
        <f>SUM(OSRRefD21_3x_3)</f>
        <v>5.47</v>
      </c>
      <c r="H48" s="1">
        <f>SUM(OSRRefD21_3x_4)</f>
        <v>10.28</v>
      </c>
      <c r="I48" s="1">
        <f>SUM(OSRRefD21_3x_5)</f>
        <v>-3.9</v>
      </c>
      <c r="J48" s="1">
        <f>SUM(OSRRefE21_3x_0)</f>
        <v>0</v>
      </c>
      <c r="K48" s="1">
        <f>SUM(OSRRefE21_3x_1)</f>
        <v>0</v>
      </c>
      <c r="L48" s="1">
        <f>SUM(OSRRefE21_3x_2)</f>
        <v>0</v>
      </c>
      <c r="M48" s="1">
        <f>SUM(OSRRefE21_3x_3)</f>
        <v>0</v>
      </c>
      <c r="N48" s="1">
        <f>SUM(OSRRefE21_3x_4)</f>
        <v>0</v>
      </c>
      <c r="O48" s="1">
        <f>SUM(OSRRefE21_3x_5)</f>
        <v>0</v>
      </c>
      <c r="Q48" s="2">
        <f>SUM(OSRRefD20_3x)+IFERROR(SUM(OSRRefE20_3x),0)</f>
        <v>-82.660000000000011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-102</v>
      </c>
      <c r="F49" s="2">
        <v>7.49</v>
      </c>
      <c r="G49" s="2">
        <v>5.47</v>
      </c>
      <c r="H49" s="2">
        <v>10.28</v>
      </c>
      <c r="I49" s="2">
        <v>-3.9</v>
      </c>
      <c r="J49" s="2"/>
      <c r="K49" s="2"/>
      <c r="L49" s="2"/>
      <c r="M49" s="2"/>
      <c r="N49" s="2"/>
      <c r="O49" s="2"/>
      <c r="P49" s="9"/>
      <c r="Q49" s="2">
        <f>SUM(OSRRefD21_3_0x)+IFERROR(SUM(OSRRefE21_3_0x),0)</f>
        <v>-82.660000000000011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721.81</v>
      </c>
      <c r="F50" s="1">
        <f>SUM(OSRRefD21_4x_2)</f>
        <v>2587.71</v>
      </c>
      <c r="G50" s="1">
        <f>SUM(OSRRefD21_4x_3)</f>
        <v>2833.08</v>
      </c>
      <c r="H50" s="1">
        <f>SUM(OSRRefD21_4x_4)</f>
        <v>1904.6</v>
      </c>
      <c r="I50" s="1">
        <f>SUM(OSRRefD21_4x_5)</f>
        <v>1667.49</v>
      </c>
      <c r="J50" s="1">
        <f>SUM(OSRRefE21_4x_0)</f>
        <v>1166</v>
      </c>
      <c r="K50" s="1">
        <f>SUM(OSRRefE21_4x_1)</f>
        <v>3345</v>
      </c>
      <c r="L50" s="1">
        <f>SUM(OSRRefE21_4x_2)</f>
        <v>3218</v>
      </c>
      <c r="M50" s="1">
        <f>SUM(OSRRefE21_4x_3)</f>
        <v>3197</v>
      </c>
      <c r="N50" s="1">
        <f>SUM(OSRRefE21_4x_4)</f>
        <v>2291</v>
      </c>
      <c r="O50" s="1">
        <f>SUM(OSRRefE21_4x_5)</f>
        <v>550</v>
      </c>
      <c r="Q50" s="2">
        <f>SUM(OSRRefD20_4x)+IFERROR(SUM(OSRRefE20_4x),0)</f>
        <v>23481.690000000002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721.81</v>
      </c>
      <c r="F51" s="2">
        <v>2587.71</v>
      </c>
      <c r="G51" s="2">
        <v>2833.08</v>
      </c>
      <c r="H51" s="2">
        <v>1904.6</v>
      </c>
      <c r="I51" s="2">
        <v>1667.49</v>
      </c>
      <c r="J51" s="2">
        <v>1166</v>
      </c>
      <c r="K51" s="2">
        <v>3345</v>
      </c>
      <c r="L51" s="2">
        <v>3218</v>
      </c>
      <c r="M51" s="2">
        <v>3197</v>
      </c>
      <c r="N51" s="2">
        <v>2291</v>
      </c>
      <c r="O51" s="2">
        <v>550</v>
      </c>
      <c r="P51" s="9"/>
      <c r="Q51" s="2">
        <f>SUM(OSRRefD21_4_0x)+IFERROR(SUM(OSRRefE21_4_0x),0)</f>
        <v>23481.690000000002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4626.5</v>
      </c>
      <c r="E52" s="1">
        <f>SUM(OSRRefD21_5x_1)</f>
        <v>4626.5</v>
      </c>
      <c r="F52" s="1">
        <f>SUM(OSRRefD21_5x_2)</f>
        <v>4626.5</v>
      </c>
      <c r="G52" s="1">
        <f>SUM(OSRRefD21_5x_3)</f>
        <v>4626.5</v>
      </c>
      <c r="H52" s="1">
        <f>SUM(OSRRefD21_5x_4)</f>
        <v>4626.5</v>
      </c>
      <c r="I52" s="1">
        <f>SUM(OSRRefD21_5x_5)</f>
        <v>4626.5</v>
      </c>
      <c r="J52" s="1">
        <f>SUM(OSRRefE21_5x_0)</f>
        <v>4733</v>
      </c>
      <c r="K52" s="1">
        <f>SUM(OSRRefE21_5x_1)</f>
        <v>4733</v>
      </c>
      <c r="L52" s="1">
        <f>SUM(OSRRefE21_5x_2)</f>
        <v>4733</v>
      </c>
      <c r="M52" s="1">
        <f>SUM(OSRRefE21_5x_3)</f>
        <v>4733</v>
      </c>
      <c r="N52" s="1">
        <f>SUM(OSRRefE21_5x_4)</f>
        <v>4733</v>
      </c>
      <c r="O52" s="1">
        <f>SUM(OSRRefE21_5x_5)</f>
        <v>4733</v>
      </c>
      <c r="Q52" s="2">
        <f>SUM(OSRRefD20_5x)+IFERROR(SUM(OSRRefE20_5x),0)</f>
        <v>56157</v>
      </c>
    </row>
    <row r="53" spans="1:17" s="35" customFormat="1" hidden="1" outlineLevel="1" x14ac:dyDescent="0.3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4626.5</v>
      </c>
      <c r="E53" s="2">
        <v>4626.5</v>
      </c>
      <c r="F53" s="2">
        <v>4626.5</v>
      </c>
      <c r="G53" s="2">
        <v>4626.5</v>
      </c>
      <c r="H53" s="2">
        <v>4626.5</v>
      </c>
      <c r="I53" s="2">
        <v>4626.5</v>
      </c>
      <c r="J53" s="2"/>
      <c r="K53" s="2"/>
      <c r="L53" s="2"/>
      <c r="M53" s="2"/>
      <c r="N53" s="2"/>
      <c r="O53" s="2"/>
      <c r="P53" s="9"/>
      <c r="Q53" s="2">
        <f>SUM(OSRRefD21_5_0x)+IFERROR(SUM(OSRRefE21_5_0x),0)</f>
        <v>27759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/>
      <c r="E54" s="2"/>
      <c r="F54" s="2"/>
      <c r="G54" s="2"/>
      <c r="H54" s="2"/>
      <c r="I54" s="2"/>
      <c r="J54" s="2">
        <v>4733</v>
      </c>
      <c r="K54" s="2">
        <v>4733</v>
      </c>
      <c r="L54" s="2">
        <v>4733</v>
      </c>
      <c r="M54" s="2">
        <v>4733</v>
      </c>
      <c r="N54" s="2">
        <v>4733</v>
      </c>
      <c r="O54" s="2">
        <v>4733</v>
      </c>
      <c r="P54" s="9"/>
      <c r="Q54" s="2">
        <f>SUM(OSRRefD21_5_1x)+IFERROR(SUM(OSRRefE21_5_1x),0)</f>
        <v>28398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73.22</v>
      </c>
      <c r="H55" s="1">
        <f>SUM(OSRRefD21_6x_4)</f>
        <v>0</v>
      </c>
      <c r="I55" s="1">
        <f>SUM(OSRRefD21_6x_5)</f>
        <v>173.7</v>
      </c>
      <c r="J55" s="1">
        <f>SUM(OSRRefE21_6x_0)</f>
        <v>20</v>
      </c>
      <c r="K55" s="1">
        <f>SUM(OSRRefE21_6x_1)</f>
        <v>0</v>
      </c>
      <c r="L55" s="1">
        <f>SUM(OSRRefE21_6x_2)</f>
        <v>20</v>
      </c>
      <c r="M55" s="1">
        <f>SUM(OSRRefE21_6x_3)</f>
        <v>0</v>
      </c>
      <c r="N55" s="1">
        <f>SUM(OSRRefE21_6x_4)</f>
        <v>20</v>
      </c>
      <c r="O55" s="1">
        <f>SUM(OSRRefE21_6x_5)</f>
        <v>0</v>
      </c>
      <c r="Q55" s="2">
        <f>SUM(OSRRefD20_6x)+IFERROR(SUM(OSRRefE20_6x),0)</f>
        <v>306.91999999999996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>
        <v>73.22</v>
      </c>
      <c r="H56" s="2"/>
      <c r="I56" s="2">
        <v>173.7</v>
      </c>
      <c r="J56" s="2">
        <v>20</v>
      </c>
      <c r="K56" s="2"/>
      <c r="L56" s="2">
        <v>20</v>
      </c>
      <c r="M56" s="2"/>
      <c r="N56" s="2">
        <v>20</v>
      </c>
      <c r="O56" s="2"/>
      <c r="P56" s="9"/>
      <c r="Q56" s="2">
        <f>SUM(OSRRefD21_6_0x)+IFERROR(SUM(OSRRefE21_6_0x),0)</f>
        <v>306.91999999999996</v>
      </c>
    </row>
    <row r="57" spans="1:17" s="35" customFormat="1" collapsed="1" x14ac:dyDescent="0.3">
      <c r="A57" s="34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SUM(OSRRefD21_7x_0)</f>
        <v>0</v>
      </c>
      <c r="E57" s="1">
        <f>SUM(OSRRefD21_7x_1)</f>
        <v>1887.3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6</v>
      </c>
      <c r="J57" s="1">
        <f>SUM(OSRRefE21_7x_0)</f>
        <v>0</v>
      </c>
      <c r="K57" s="1">
        <f>SUM(OSRRefE21_7x_1)</f>
        <v>0</v>
      </c>
      <c r="L57" s="1">
        <f>SUM(OSRRefE21_7x_2)</f>
        <v>0</v>
      </c>
      <c r="M57" s="1">
        <f>SUM(OSRRefE21_7x_3)</f>
        <v>0</v>
      </c>
      <c r="N57" s="1">
        <f>SUM(OSRRefE21_7x_4)</f>
        <v>0</v>
      </c>
      <c r="O57" s="1">
        <f>SUM(OSRRefE21_7x_5)</f>
        <v>0</v>
      </c>
      <c r="Q57" s="2">
        <f>SUM(OSRRefD20_7x)+IFERROR(SUM(OSRRefE20_7x),0)</f>
        <v>1893.3</v>
      </c>
    </row>
    <row r="58" spans="1:17" s="35" customFormat="1" hidden="1" outlineLevel="1" x14ac:dyDescent="0.3">
      <c r="A58" s="34"/>
      <c r="B58" s="10" t="str">
        <f>CONCATENATE("          ","6279", " - ","GENERAL EXPENSE")</f>
        <v xml:space="preserve">          6279 - GENERAL EXPENSE</v>
      </c>
      <c r="C58" s="14"/>
      <c r="D58" s="2"/>
      <c r="E58" s="2">
        <v>1887.3</v>
      </c>
      <c r="F58" s="2"/>
      <c r="G58" s="2"/>
      <c r="H58" s="2"/>
      <c r="I58" s="2">
        <v>6</v>
      </c>
      <c r="J58" s="2"/>
      <c r="K58" s="2"/>
      <c r="L58" s="2"/>
      <c r="M58" s="2"/>
      <c r="N58" s="2"/>
      <c r="O58" s="2"/>
      <c r="P58" s="9"/>
      <c r="Q58" s="2">
        <f>SUM(OSRRefD21_7_0x)+IFERROR(SUM(OSRRefE21_7_0x),0)</f>
        <v>1893.3</v>
      </c>
    </row>
    <row r="59" spans="1:17" s="35" customFormat="1" collapsed="1" x14ac:dyDescent="0.3">
      <c r="A59" s="34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SUM(OSRRefD21_8x_0)</f>
        <v>1850</v>
      </c>
      <c r="E59" s="1">
        <f>SUM(OSRRefD21_8x_1)</f>
        <v>1850</v>
      </c>
      <c r="F59" s="1">
        <f>SUM(OSRRefD21_8x_2)</f>
        <v>1850</v>
      </c>
      <c r="G59" s="1">
        <f>SUM(OSRRefD21_8x_3)</f>
        <v>1850</v>
      </c>
      <c r="H59" s="1">
        <f>SUM(OSRRefD21_8x_4)</f>
        <v>1850</v>
      </c>
      <c r="I59" s="1">
        <f>SUM(OSRRefD21_8x_5)</f>
        <v>1850</v>
      </c>
      <c r="J59" s="1">
        <f>SUM(OSRRefE21_8x_0)</f>
        <v>1850</v>
      </c>
      <c r="K59" s="1">
        <f>SUM(OSRRefE21_8x_1)</f>
        <v>1850</v>
      </c>
      <c r="L59" s="1">
        <f>SUM(OSRRefE21_8x_2)</f>
        <v>1850</v>
      </c>
      <c r="M59" s="1">
        <f>SUM(OSRRefE21_8x_3)</f>
        <v>1850</v>
      </c>
      <c r="N59" s="1">
        <f>SUM(OSRRefE21_8x_4)</f>
        <v>1850</v>
      </c>
      <c r="O59" s="1">
        <f>SUM(OSRRefE21_8x_5)</f>
        <v>1850</v>
      </c>
      <c r="Q59" s="2">
        <f>SUM(OSRRefD20_8x)+IFERROR(SUM(OSRRefE20_8x),0)</f>
        <v>22200</v>
      </c>
    </row>
    <row r="60" spans="1:17" s="35" customFormat="1" hidden="1" outlineLevel="1" x14ac:dyDescent="0.3">
      <c r="A60" s="34"/>
      <c r="B60" s="10" t="str">
        <f>CONCATENATE("          ","6273", " - ","RENT")</f>
        <v xml:space="preserve">          6273 - RENT</v>
      </c>
      <c r="C60" s="14"/>
      <c r="D60" s="2">
        <v>1850</v>
      </c>
      <c r="E60" s="2">
        <v>1850</v>
      </c>
      <c r="F60" s="2">
        <v>1850</v>
      </c>
      <c r="G60" s="2">
        <v>1850</v>
      </c>
      <c r="H60" s="2">
        <v>1850</v>
      </c>
      <c r="I60" s="2">
        <v>1850</v>
      </c>
      <c r="J60" s="2">
        <v>1850</v>
      </c>
      <c r="K60" s="2">
        <v>1850</v>
      </c>
      <c r="L60" s="2">
        <v>1850</v>
      </c>
      <c r="M60" s="2">
        <v>1850</v>
      </c>
      <c r="N60" s="2">
        <v>1850</v>
      </c>
      <c r="O60" s="2">
        <v>1850</v>
      </c>
      <c r="P60" s="9"/>
      <c r="Q60" s="2">
        <f>SUM(OSRRefD21_8_0x)+IFERROR(SUM(OSRRefE21_8_0x),0)</f>
        <v>22200</v>
      </c>
    </row>
    <row r="61" spans="1:17" s="35" customFormat="1" collapsed="1" x14ac:dyDescent="0.3">
      <c r="A61" s="34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SUM(OSRRefD21_9x_0)</f>
        <v>130.94999999999999</v>
      </c>
      <c r="E61" s="1">
        <f>SUM(OSRRefD21_9x_1)</f>
        <v>1665.08</v>
      </c>
      <c r="F61" s="1">
        <f>SUM(OSRRefD21_9x_2)</f>
        <v>71.86</v>
      </c>
      <c r="G61" s="1">
        <f>SUM(OSRRefD21_9x_3)</f>
        <v>37</v>
      </c>
      <c r="H61" s="1">
        <f>SUM(OSRRefD21_9x_4)</f>
        <v>1277.0999999999999</v>
      </c>
      <c r="I61" s="1">
        <f>SUM(OSRRefD21_9x_5)</f>
        <v>493.99</v>
      </c>
      <c r="J61" s="1">
        <f>SUM(OSRRefE21_9x_0)</f>
        <v>650</v>
      </c>
      <c r="K61" s="1">
        <f>SUM(OSRRefE21_9x_1)</f>
        <v>500</v>
      </c>
      <c r="L61" s="1">
        <f>SUM(OSRRefE21_9x_2)</f>
        <v>500</v>
      </c>
      <c r="M61" s="1">
        <f>SUM(OSRRefE21_9x_3)</f>
        <v>650</v>
      </c>
      <c r="N61" s="1">
        <f>SUM(OSRRefE21_9x_4)</f>
        <v>500</v>
      </c>
      <c r="O61" s="1">
        <f>SUM(OSRRefE21_9x_5)</f>
        <v>500</v>
      </c>
      <c r="Q61" s="2">
        <f>SUM(OSRRefD20_9x)+IFERROR(SUM(OSRRefE20_9x),0)</f>
        <v>6975.98</v>
      </c>
    </row>
    <row r="62" spans="1:17" s="35" customFormat="1" hidden="1" outlineLevel="1" x14ac:dyDescent="0.3">
      <c r="A62" s="34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>
        <v>71.86</v>
      </c>
      <c r="G62" s="2"/>
      <c r="H62" s="2"/>
      <c r="I62" s="2">
        <v>74.89</v>
      </c>
      <c r="J62" s="2">
        <v>150</v>
      </c>
      <c r="K62" s="2"/>
      <c r="L62" s="2"/>
      <c r="M62" s="2">
        <v>150</v>
      </c>
      <c r="N62" s="2"/>
      <c r="O62" s="2"/>
      <c r="P62" s="9"/>
      <c r="Q62" s="2">
        <f>SUM(OSRRefD21_9_0x)+IFERROR(SUM(OSRRefE21_9_0x),0)</f>
        <v>446.75</v>
      </c>
    </row>
    <row r="63" spans="1:17" s="35" customFormat="1" hidden="1" outlineLevel="1" x14ac:dyDescent="0.3">
      <c r="A63" s="34"/>
      <c r="B63" s="10" t="str">
        <f>CONCATENATE("          ","6375", " - ","OUTSIDE REPAIRS &amp; MAINTENANCE")</f>
        <v xml:space="preserve">          6375 - OUTSIDE REPAIRS &amp; MAINTENANCE</v>
      </c>
      <c r="C63" s="14"/>
      <c r="D63" s="2">
        <v>130.94999999999999</v>
      </c>
      <c r="E63" s="2">
        <v>1665.08</v>
      </c>
      <c r="F63" s="2"/>
      <c r="G63" s="2">
        <v>37</v>
      </c>
      <c r="H63" s="2">
        <v>1277.0999999999999</v>
      </c>
      <c r="I63" s="2">
        <v>419.1</v>
      </c>
      <c r="J63" s="2">
        <v>500</v>
      </c>
      <c r="K63" s="2">
        <v>500</v>
      </c>
      <c r="L63" s="2">
        <v>500</v>
      </c>
      <c r="M63" s="2">
        <v>500</v>
      </c>
      <c r="N63" s="2">
        <v>500</v>
      </c>
      <c r="O63" s="2">
        <v>500</v>
      </c>
      <c r="P63" s="9"/>
      <c r="Q63" s="2">
        <f>SUM(OSRRefD21_9_1x)+IFERROR(SUM(OSRRefE21_9_1x),0)</f>
        <v>6529.23</v>
      </c>
    </row>
    <row r="64" spans="1:17" s="35" customFormat="1" collapsed="1" x14ac:dyDescent="0.3">
      <c r="A64" s="34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3733.86</v>
      </c>
      <c r="G64" s="1">
        <f>SUM(OSRRefD21_10x_3)</f>
        <v>245.44</v>
      </c>
      <c r="H64" s="1">
        <f>SUM(OSRRefD21_10x_4)</f>
        <v>20.7</v>
      </c>
      <c r="I64" s="1">
        <f>SUM(OSRRefD21_10x_5)</f>
        <v>851.3</v>
      </c>
      <c r="J64" s="1">
        <f>SUM(OSRRefE21_10x_0)</f>
        <v>2283</v>
      </c>
      <c r="K64" s="1">
        <f>SUM(OSRRefE21_10x_1)</f>
        <v>2273</v>
      </c>
      <c r="L64" s="1">
        <f>SUM(OSRRefE21_10x_2)</f>
        <v>2273</v>
      </c>
      <c r="M64" s="1">
        <f>SUM(OSRRefE21_10x_3)</f>
        <v>2273</v>
      </c>
      <c r="N64" s="1">
        <f>SUM(OSRRefE21_10x_4)</f>
        <v>2273</v>
      </c>
      <c r="O64" s="1">
        <f>SUM(OSRRefE21_10x_5)</f>
        <v>2263</v>
      </c>
      <c r="Q64" s="2">
        <f>SUM(OSRRefD20_10x)+IFERROR(SUM(OSRRefE20_10x),0)</f>
        <v>18489.3</v>
      </c>
    </row>
    <row r="65" spans="1:17" s="35" customFormat="1" hidden="1" outlineLevel="1" x14ac:dyDescent="0.3">
      <c r="A65" s="34"/>
      <c r="B65" s="10" t="str">
        <f>CONCATENATE("          ","6282", " - ","JANITORIAL/EXTERMINATOR EXPENS")</f>
        <v xml:space="preserve">          6282 - JANITORIAL/EXTERMINATOR EXPENS</v>
      </c>
      <c r="C65" s="14"/>
      <c r="D65" s="2"/>
      <c r="E65" s="2"/>
      <c r="F65" s="2"/>
      <c r="G65" s="2">
        <v>63.86</v>
      </c>
      <c r="H65" s="2"/>
      <c r="I65" s="2">
        <v>388</v>
      </c>
      <c r="J65" s="2">
        <v>150</v>
      </c>
      <c r="K65" s="2">
        <v>150</v>
      </c>
      <c r="L65" s="2">
        <v>150</v>
      </c>
      <c r="M65" s="2">
        <v>150</v>
      </c>
      <c r="N65" s="2">
        <v>150</v>
      </c>
      <c r="O65" s="2">
        <v>150</v>
      </c>
      <c r="P65" s="9"/>
      <c r="Q65" s="2">
        <f>SUM(OSRRefD21_10_0x)+IFERROR(SUM(OSRRefE21_10_0x),0)</f>
        <v>1351.8600000000001</v>
      </c>
    </row>
    <row r="66" spans="1:17" s="35" customFormat="1" hidden="1" outlineLevel="1" x14ac:dyDescent="0.3">
      <c r="A66" s="34"/>
      <c r="B66" s="10" t="str">
        <f>CONCATENATE("          ","6285", " - ","JANITORIAL SERVICES")</f>
        <v xml:space="preserve">          6285 - JANITORIAL SERVICES</v>
      </c>
      <c r="C66" s="14"/>
      <c r="D66" s="2"/>
      <c r="E66" s="2"/>
      <c r="F66" s="2">
        <v>3660</v>
      </c>
      <c r="G66" s="2"/>
      <c r="H66" s="2"/>
      <c r="I66" s="2"/>
      <c r="J66" s="2">
        <v>2083</v>
      </c>
      <c r="K66" s="2">
        <v>2083</v>
      </c>
      <c r="L66" s="2">
        <v>2083</v>
      </c>
      <c r="M66" s="2">
        <v>2083</v>
      </c>
      <c r="N66" s="2">
        <v>2083</v>
      </c>
      <c r="O66" s="2">
        <v>2083</v>
      </c>
      <c r="P66" s="9"/>
      <c r="Q66" s="2">
        <f>SUM(OSRRefD21_10_1x)+IFERROR(SUM(OSRRefE21_10_1x),0)</f>
        <v>16158</v>
      </c>
    </row>
    <row r="67" spans="1:17" s="35" customFormat="1" hidden="1" outlineLevel="1" x14ac:dyDescent="0.3">
      <c r="A67" s="34"/>
      <c r="B67" s="10" t="str">
        <f>CONCATENATE("          ","6286", " - ","LAUNDRY EXPENSE")</f>
        <v xml:space="preserve">          6286 - LAUNDRY EXPENSE</v>
      </c>
      <c r="C67" s="14"/>
      <c r="D67" s="2"/>
      <c r="E67" s="2"/>
      <c r="F67" s="2">
        <v>73.86</v>
      </c>
      <c r="G67" s="2">
        <v>181.58</v>
      </c>
      <c r="H67" s="2">
        <v>20.7</v>
      </c>
      <c r="I67" s="2">
        <v>463.3</v>
      </c>
      <c r="J67" s="2">
        <v>50</v>
      </c>
      <c r="K67" s="2">
        <v>40</v>
      </c>
      <c r="L67" s="2">
        <v>40</v>
      </c>
      <c r="M67" s="2">
        <v>40</v>
      </c>
      <c r="N67" s="2">
        <v>40</v>
      </c>
      <c r="O67" s="2">
        <v>30</v>
      </c>
      <c r="P67" s="9"/>
      <c r="Q67" s="2">
        <f>SUM(OSRRefD21_10_2x)+IFERROR(SUM(OSRRefE21_10_2x),0)</f>
        <v>979.44</v>
      </c>
    </row>
    <row r="68" spans="1:17" s="35" customFormat="1" collapsed="1" x14ac:dyDescent="0.3">
      <c r="A68" s="34"/>
      <c r="B68" s="14" t="str">
        <f>CONCATENATE("     ","Subscriptions &amp; Dues                              ")</f>
        <v xml:space="preserve">     Subscriptions &amp; Dues                              </v>
      </c>
      <c r="C68" s="14"/>
      <c r="D68" s="1">
        <f>SUM(OSRRefD21_11x_0)</f>
        <v>0</v>
      </c>
      <c r="E68" s="1">
        <f>SUM(OSRRefD21_11x_1)</f>
        <v>0</v>
      </c>
      <c r="F68" s="1">
        <f>SUM(OSRRefD21_11x_2)</f>
        <v>0</v>
      </c>
      <c r="G68" s="1">
        <f>SUM(OSRRefD21_11x_3)</f>
        <v>173.04</v>
      </c>
      <c r="H68" s="1">
        <f>SUM(OSRRefD21_11x_4)</f>
        <v>44.9</v>
      </c>
      <c r="I68" s="1">
        <f>SUM(OSRRefD21_11x_5)</f>
        <v>17.95</v>
      </c>
      <c r="J68" s="1">
        <f>SUM(OSRRefE21_11x_0)</f>
        <v>30</v>
      </c>
      <c r="K68" s="1">
        <f>SUM(OSRRefE21_11x_1)</f>
        <v>30</v>
      </c>
      <c r="L68" s="1">
        <f>SUM(OSRRefE21_11x_2)</f>
        <v>30</v>
      </c>
      <c r="M68" s="1">
        <f>SUM(OSRRefE21_11x_3)</f>
        <v>30</v>
      </c>
      <c r="N68" s="1">
        <f>SUM(OSRRefE21_11x_4)</f>
        <v>30</v>
      </c>
      <c r="O68" s="1">
        <f>SUM(OSRRefE21_11x_5)</f>
        <v>30</v>
      </c>
      <c r="Q68" s="2">
        <f>SUM(OSRRefD20_11x)+IFERROR(SUM(OSRRefE20_11x),0)</f>
        <v>415.89</v>
      </c>
    </row>
    <row r="69" spans="1:17" s="35" customFormat="1" hidden="1" outlineLevel="1" x14ac:dyDescent="0.3">
      <c r="A69" s="34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/>
      <c r="G69" s="2">
        <v>173.04</v>
      </c>
      <c r="H69" s="2">
        <v>44.9</v>
      </c>
      <c r="I69" s="2">
        <v>17.95</v>
      </c>
      <c r="J69" s="2">
        <v>30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9"/>
      <c r="Q69" s="2">
        <f>SUM(OSRRefD21_11_0x)+IFERROR(SUM(OSRRefE21_11_0x),0)</f>
        <v>415.89</v>
      </c>
    </row>
    <row r="70" spans="1:17" s="35" customFormat="1" collapsed="1" x14ac:dyDescent="0.3">
      <c r="A70" s="34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SUM(OSRRefD21_12x_0)</f>
        <v>43.79</v>
      </c>
      <c r="E70" s="1">
        <f>SUM(OSRRefD21_12x_1)</f>
        <v>884.73</v>
      </c>
      <c r="F70" s="1">
        <f>SUM(OSRRefD21_12x_2)</f>
        <v>711.2</v>
      </c>
      <c r="G70" s="1">
        <f>SUM(OSRRefD21_12x_3)</f>
        <v>2741.66</v>
      </c>
      <c r="H70" s="1">
        <f>SUM(OSRRefD21_12x_4)</f>
        <v>409.18</v>
      </c>
      <c r="I70" s="1">
        <f>SUM(OSRRefD21_12x_5)</f>
        <v>574.30999999999995</v>
      </c>
      <c r="J70" s="1">
        <f>SUM(OSRRefE21_12x_0)</f>
        <v>1525</v>
      </c>
      <c r="K70" s="1">
        <f>SUM(OSRRefE21_12x_1)</f>
        <v>475</v>
      </c>
      <c r="L70" s="1">
        <f>SUM(OSRRefE21_12x_2)</f>
        <v>525</v>
      </c>
      <c r="M70" s="1">
        <f>SUM(OSRRefE21_12x_3)</f>
        <v>475</v>
      </c>
      <c r="N70" s="1">
        <f>SUM(OSRRefE21_12x_4)</f>
        <v>525</v>
      </c>
      <c r="O70" s="1">
        <f>SUM(OSRRefE21_12x_5)</f>
        <v>375</v>
      </c>
      <c r="Q70" s="2">
        <f>SUM(OSRRefD20_12x)+IFERROR(SUM(OSRRefE20_12x),0)</f>
        <v>9264.8700000000008</v>
      </c>
    </row>
    <row r="71" spans="1:17" s="35" customFormat="1" hidden="1" outlineLevel="1" x14ac:dyDescent="0.3">
      <c r="A71" s="34"/>
      <c r="B71" s="10" t="str">
        <f>CONCATENATE("          ","6235", " - ","COVID-19 EXPENSES")</f>
        <v xml:space="preserve">          6235 - COVID-19 EXPENSES</v>
      </c>
      <c r="C71" s="14"/>
      <c r="D71" s="2"/>
      <c r="E71" s="2"/>
      <c r="F71" s="2">
        <v>193.5</v>
      </c>
      <c r="G71" s="2"/>
      <c r="H71" s="2"/>
      <c r="I71" s="2"/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SUM(OSRRefD21_12_0x)+IFERROR(SUM(OSRRefE21_12_0x),0)</f>
        <v>643.5</v>
      </c>
    </row>
    <row r="72" spans="1:17" s="35" customFormat="1" hidden="1" outlineLevel="1" x14ac:dyDescent="0.3">
      <c r="A72" s="34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48.12</v>
      </c>
      <c r="F72" s="2"/>
      <c r="G72" s="2"/>
      <c r="H72" s="2"/>
      <c r="I72" s="2"/>
      <c r="J72" s="2">
        <v>150</v>
      </c>
      <c r="K72" s="2">
        <v>150</v>
      </c>
      <c r="L72" s="2">
        <v>150</v>
      </c>
      <c r="M72" s="2">
        <v>150</v>
      </c>
      <c r="N72" s="2">
        <v>150</v>
      </c>
      <c r="O72" s="2">
        <v>100</v>
      </c>
      <c r="P72" s="9"/>
      <c r="Q72" s="2">
        <f>SUM(OSRRefD21_12_1x)+IFERROR(SUM(OSRRefE21_12_1x),0)</f>
        <v>898.12</v>
      </c>
    </row>
    <row r="73" spans="1:17" s="35" customFormat="1" hidden="1" outlineLevel="1" x14ac:dyDescent="0.3">
      <c r="A73" s="34"/>
      <c r="B73" s="10" t="str">
        <f>CONCATENATE("          ","6239", " - ","KITCHEN SUPPLIES")</f>
        <v xml:space="preserve">          6239 - KITCHEN SUPPLIES</v>
      </c>
      <c r="C73" s="14"/>
      <c r="D73" s="2"/>
      <c r="E73" s="2"/>
      <c r="F73" s="2">
        <v>83.36</v>
      </c>
      <c r="G73" s="2">
        <v>685.8</v>
      </c>
      <c r="H73" s="2">
        <v>105.7</v>
      </c>
      <c r="I73" s="2">
        <v>454.42</v>
      </c>
      <c r="J73" s="2">
        <v>100</v>
      </c>
      <c r="K73" s="2"/>
      <c r="L73" s="2"/>
      <c r="M73" s="2"/>
      <c r="N73" s="2"/>
      <c r="O73" s="2"/>
      <c r="P73" s="9"/>
      <c r="Q73" s="2">
        <f>SUM(OSRRefD21_12_2x)+IFERROR(SUM(OSRRefE21_12_2x),0)</f>
        <v>1429.28</v>
      </c>
    </row>
    <row r="74" spans="1:17" s="35" customFormat="1" hidden="1" outlineLevel="1" x14ac:dyDescent="0.3">
      <c r="A74" s="34"/>
      <c r="B74" s="10" t="str">
        <f>CONCATENATE("          ","6241", " - ","OFFICE EXPENSE")</f>
        <v xml:space="preserve">          6241 - OFFICE EXPENSE</v>
      </c>
      <c r="C74" s="14"/>
      <c r="D74" s="2">
        <v>43.79</v>
      </c>
      <c r="E74" s="2">
        <v>636.61</v>
      </c>
      <c r="F74" s="2">
        <v>169.8</v>
      </c>
      <c r="G74" s="2">
        <v>781.88</v>
      </c>
      <c r="H74" s="2">
        <v>110.53</v>
      </c>
      <c r="I74" s="2">
        <v>53.22</v>
      </c>
      <c r="J74" s="2">
        <v>50</v>
      </c>
      <c r="K74" s="2"/>
      <c r="L74" s="2">
        <v>50</v>
      </c>
      <c r="M74" s="2"/>
      <c r="N74" s="2">
        <v>50</v>
      </c>
      <c r="O74" s="2"/>
      <c r="P74" s="9"/>
      <c r="Q74" s="2">
        <f>SUM(OSRRefD21_12_3x)+IFERROR(SUM(OSRRefE21_12_3x),0)</f>
        <v>1945.83</v>
      </c>
    </row>
    <row r="75" spans="1:17" s="35" customFormat="1" hidden="1" outlineLevel="1" x14ac:dyDescent="0.3">
      <c r="A75" s="34"/>
      <c r="B75" s="10" t="str">
        <f>CONCATENATE("          ","6243", " - ","PAPER SUPPLIES")</f>
        <v xml:space="preserve">          6243 - PAPER SUPPLIES</v>
      </c>
      <c r="C75" s="14"/>
      <c r="D75" s="2"/>
      <c r="E75" s="2"/>
      <c r="F75" s="2">
        <v>50.56</v>
      </c>
      <c r="G75" s="2">
        <v>394.35</v>
      </c>
      <c r="H75" s="2"/>
      <c r="I75" s="2">
        <v>66.67</v>
      </c>
      <c r="J75" s="2">
        <v>500</v>
      </c>
      <c r="K75" s="2">
        <v>200</v>
      </c>
      <c r="L75" s="2">
        <v>200</v>
      </c>
      <c r="M75" s="2">
        <v>200</v>
      </c>
      <c r="N75" s="2">
        <v>200</v>
      </c>
      <c r="O75" s="2">
        <v>150</v>
      </c>
      <c r="P75" s="9"/>
      <c r="Q75" s="2">
        <f>SUM(OSRRefD21_12_4x)+IFERROR(SUM(OSRRefE21_12_4x),0)</f>
        <v>1961.58</v>
      </c>
    </row>
    <row r="76" spans="1:17" s="35" customFormat="1" hidden="1" outlineLevel="1" x14ac:dyDescent="0.3">
      <c r="A76" s="34"/>
      <c r="B76" s="10" t="str">
        <f>CONCATENATE("          ","6245", " - ","PRINTING")</f>
        <v xml:space="preserve">          6245 - PRINTING</v>
      </c>
      <c r="C76" s="14"/>
      <c r="D76" s="2"/>
      <c r="E76" s="2"/>
      <c r="F76" s="2"/>
      <c r="G76" s="2">
        <v>733</v>
      </c>
      <c r="H76" s="2"/>
      <c r="I76" s="2"/>
      <c r="J76" s="2">
        <v>150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SUM(OSRRefD21_12_5x)+IFERROR(SUM(OSRRefE21_12_5x),0)</f>
        <v>1133</v>
      </c>
    </row>
    <row r="77" spans="1:17" s="35" customFormat="1" hidden="1" outlineLevel="1" x14ac:dyDescent="0.3">
      <c r="A77" s="34"/>
      <c r="B77" s="10" t="str">
        <f>CONCATENATE("          ","6247", " - ","STORE SUPPLIES")</f>
        <v xml:space="preserve">          6247 - STORE SUPPLIES</v>
      </c>
      <c r="C77" s="14"/>
      <c r="D77" s="2"/>
      <c r="E77" s="2">
        <v>200</v>
      </c>
      <c r="F77" s="2">
        <v>213.98</v>
      </c>
      <c r="G77" s="2">
        <v>146.63</v>
      </c>
      <c r="H77" s="2">
        <v>-60</v>
      </c>
      <c r="I77" s="2">
        <v>0</v>
      </c>
      <c r="J77" s="2"/>
      <c r="K77" s="2"/>
      <c r="L77" s="2"/>
      <c r="M77" s="2"/>
      <c r="N77" s="2"/>
      <c r="O77" s="2"/>
      <c r="P77" s="9"/>
      <c r="Q77" s="2">
        <f>SUM(OSRRefD21_12_6x)+IFERROR(SUM(OSRRefE21_12_6x),0)</f>
        <v>500.61</v>
      </c>
    </row>
    <row r="78" spans="1:17" s="35" customFormat="1" hidden="1" outlineLevel="1" x14ac:dyDescent="0.3">
      <c r="A78" s="34"/>
      <c r="B78" s="10" t="str">
        <f>CONCATENATE("          ","6248", " - ","UNIFORMS")</f>
        <v xml:space="preserve">          6248 - UNIFORMS</v>
      </c>
      <c r="C78" s="14"/>
      <c r="D78" s="2"/>
      <c r="E78" s="2"/>
      <c r="F78" s="2"/>
      <c r="G78" s="2"/>
      <c r="H78" s="2">
        <v>252.95</v>
      </c>
      <c r="I78" s="2"/>
      <c r="J78" s="2">
        <v>500</v>
      </c>
      <c r="K78" s="2"/>
      <c r="L78" s="2"/>
      <c r="M78" s="2"/>
      <c r="N78" s="2"/>
      <c r="O78" s="2"/>
      <c r="P78" s="9"/>
      <c r="Q78" s="2">
        <f>SUM(OSRRefD21_12_7x)+IFERROR(SUM(OSRRefE21_12_7x),0)</f>
        <v>752.95</v>
      </c>
    </row>
    <row r="79" spans="1:17" s="35" customFormat="1" collapsed="1" x14ac:dyDescent="0.3">
      <c r="A79" s="34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SUM(OSRRefD21_13x_0)</f>
        <v>150</v>
      </c>
      <c r="E79" s="1">
        <f>SUM(OSRRefD21_13x_1)</f>
        <v>150</v>
      </c>
      <c r="F79" s="1">
        <f>SUM(OSRRefD21_13x_2)</f>
        <v>75</v>
      </c>
      <c r="G79" s="1">
        <f>SUM(OSRRefD21_13x_3)</f>
        <v>150</v>
      </c>
      <c r="H79" s="1">
        <f>SUM(OSRRefD21_13x_4)</f>
        <v>75</v>
      </c>
      <c r="I79" s="1">
        <f>SUM(OSRRefD21_13x_5)</f>
        <v>0</v>
      </c>
      <c r="J79" s="1">
        <f>SUM(OSRRefE21_13x_0)</f>
        <v>150</v>
      </c>
      <c r="K79" s="1">
        <f>SUM(OSRRefE21_13x_1)</f>
        <v>150</v>
      </c>
      <c r="L79" s="1">
        <f>SUM(OSRRefE21_13x_2)</f>
        <v>150</v>
      </c>
      <c r="M79" s="1">
        <f>SUM(OSRRefE21_13x_3)</f>
        <v>150</v>
      </c>
      <c r="N79" s="1">
        <f>SUM(OSRRefE21_13x_4)</f>
        <v>150</v>
      </c>
      <c r="O79" s="1">
        <f>SUM(OSRRefE21_13x_5)</f>
        <v>150</v>
      </c>
      <c r="Q79" s="2">
        <f>SUM(OSRRefD20_13x)+IFERROR(SUM(OSRRefE20_13x),0)</f>
        <v>1500</v>
      </c>
    </row>
    <row r="80" spans="1:17" s="35" customFormat="1" hidden="1" outlineLevel="1" x14ac:dyDescent="0.3">
      <c r="A80" s="34"/>
      <c r="B80" s="10" t="str">
        <f>CONCATENATE("          ","6309", " - ","TELEPHONE")</f>
        <v xml:space="preserve">          6309 - TELEPHONE</v>
      </c>
      <c r="C80" s="14"/>
      <c r="D80" s="2">
        <v>150</v>
      </c>
      <c r="E80" s="2">
        <v>150</v>
      </c>
      <c r="F80" s="2">
        <v>75</v>
      </c>
      <c r="G80" s="2">
        <v>150</v>
      </c>
      <c r="H80" s="2">
        <v>75</v>
      </c>
      <c r="I80" s="2">
        <v>0</v>
      </c>
      <c r="J80" s="2">
        <v>150</v>
      </c>
      <c r="K80" s="2">
        <v>150</v>
      </c>
      <c r="L80" s="2">
        <v>150</v>
      </c>
      <c r="M80" s="2">
        <v>150</v>
      </c>
      <c r="N80" s="2">
        <v>150</v>
      </c>
      <c r="O80" s="2">
        <v>150</v>
      </c>
      <c r="P80" s="9"/>
      <c r="Q80" s="2">
        <f>SUM(OSRRefD21_13_0x)+IFERROR(SUM(OSRRefE21_13_0x),0)</f>
        <v>1500</v>
      </c>
    </row>
    <row r="81" spans="1:17" s="35" customFormat="1" collapsed="1" x14ac:dyDescent="0.3">
      <c r="A81" s="34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SUM(OSRRefD21_14x_0)</f>
        <v>0</v>
      </c>
      <c r="E81" s="1">
        <f>SUM(OSRRefD21_14x_1)</f>
        <v>0</v>
      </c>
      <c r="F81" s="1">
        <f>SUM(OSRRefD21_14x_2)</f>
        <v>0</v>
      </c>
      <c r="G81" s="1">
        <f>SUM(OSRRefD21_14x_3)</f>
        <v>0</v>
      </c>
      <c r="H81" s="1">
        <f>SUM(OSRRefD21_14x_4)</f>
        <v>0</v>
      </c>
      <c r="I81" s="1">
        <f>SUM(OSRRefD21_14x_5)</f>
        <v>0</v>
      </c>
      <c r="J81" s="1">
        <f>SUM(OSRRefE21_14x_0)</f>
        <v>200</v>
      </c>
      <c r="K81" s="1">
        <f>SUM(OSRRefE21_14x_1)</f>
        <v>0</v>
      </c>
      <c r="L81" s="1">
        <f>SUM(OSRRefE21_14x_2)</f>
        <v>0</v>
      </c>
      <c r="M81" s="1">
        <f>SUM(OSRRefE21_14x_3)</f>
        <v>0</v>
      </c>
      <c r="N81" s="1">
        <f>SUM(OSRRefE21_14x_4)</f>
        <v>0</v>
      </c>
      <c r="O81" s="1">
        <f>SUM(OSRRefE21_14x_5)</f>
        <v>0</v>
      </c>
      <c r="Q81" s="2">
        <f>SUM(OSRRefD20_14x)+IFERROR(SUM(OSRRefE20_14x),0)</f>
        <v>200</v>
      </c>
    </row>
    <row r="82" spans="1:17" s="35" customFormat="1" hidden="1" outlineLevel="1" x14ac:dyDescent="0.3">
      <c r="A82" s="34"/>
      <c r="B82" s="10" t="str">
        <f>CONCATENATE("          ","6376", " - ","TRAINING")</f>
        <v xml:space="preserve">          6376 - TRAINING</v>
      </c>
      <c r="C82" s="14"/>
      <c r="D82" s="2"/>
      <c r="E82" s="2"/>
      <c r="F82" s="2"/>
      <c r="G82" s="2"/>
      <c r="H82" s="2"/>
      <c r="I82" s="2"/>
      <c r="J82" s="2">
        <v>200</v>
      </c>
      <c r="K82" s="2"/>
      <c r="L82" s="2"/>
      <c r="M82" s="2"/>
      <c r="N82" s="2"/>
      <c r="O82" s="2"/>
      <c r="P82" s="9"/>
      <c r="Q82" s="2">
        <f>SUM(OSRRefD21_14_0x)+IFERROR(SUM(OSRRefE21_14_0x),0)</f>
        <v>200</v>
      </c>
    </row>
    <row r="83" spans="1:17" s="35" customFormat="1" collapsed="1" x14ac:dyDescent="0.3">
      <c r="A83" s="34"/>
      <c r="B83" s="14" t="str">
        <f>CONCATENATE("     ","Travel                                            ")</f>
        <v xml:space="preserve">     Travel  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SUM(OSRRefD21_15x_5)</f>
        <v>0</v>
      </c>
      <c r="J83" s="1">
        <f>SUM(OSRRefE21_15x_0)</f>
        <v>0</v>
      </c>
      <c r="K83" s="1">
        <f>SUM(OSRRefE21_15x_1)</f>
        <v>600</v>
      </c>
      <c r="L83" s="1">
        <f>SUM(OSRRefE21_15x_2)</f>
        <v>0</v>
      </c>
      <c r="M83" s="1">
        <f>SUM(OSRRefE21_15x_3)</f>
        <v>0</v>
      </c>
      <c r="N83" s="1">
        <f>SUM(OSRRefE21_15x_4)</f>
        <v>0</v>
      </c>
      <c r="O83" s="1">
        <f>SUM(OSRRefE21_15x_5)</f>
        <v>0</v>
      </c>
      <c r="Q83" s="2">
        <f>SUM(OSRRefD20_15x)+IFERROR(SUM(OSRRefE20_15x),0)</f>
        <v>600</v>
      </c>
    </row>
    <row r="84" spans="1:17" s="35" customFormat="1" hidden="1" outlineLevel="1" x14ac:dyDescent="0.3">
      <c r="A84" s="34"/>
      <c r="B84" s="10" t="str">
        <f>CONCATENATE("          ","6292", " - ","TRAVEL/CONFERENCE")</f>
        <v xml:space="preserve">          6292 - TRAVEL/CONFERENCE</v>
      </c>
      <c r="C84" s="14"/>
      <c r="D84" s="2"/>
      <c r="E84" s="2"/>
      <c r="F84" s="2"/>
      <c r="G84" s="2"/>
      <c r="H84" s="2"/>
      <c r="I84" s="2"/>
      <c r="J84" s="2"/>
      <c r="K84" s="2">
        <v>600</v>
      </c>
      <c r="L84" s="2"/>
      <c r="M84" s="2"/>
      <c r="N84" s="2"/>
      <c r="O84" s="2"/>
      <c r="P84" s="9"/>
      <c r="Q84" s="2">
        <f>SUM(OSRRefD21_15_0x)+IFERROR(SUM(OSRRefE21_15_0x),0)</f>
        <v>600</v>
      </c>
    </row>
    <row r="85" spans="1:17" s="35" customFormat="1" collapsed="1" x14ac:dyDescent="0.3">
      <c r="A85" s="34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SUM(OSRRefD21_16x_0)</f>
        <v>200</v>
      </c>
      <c r="E85" s="1">
        <f>SUM(OSRRefD21_16x_1)</f>
        <v>200</v>
      </c>
      <c r="F85" s="1">
        <f>SUM(OSRRefD21_16x_2)</f>
        <v>200</v>
      </c>
      <c r="G85" s="1">
        <f>SUM(OSRRefD21_16x_3)</f>
        <v>200</v>
      </c>
      <c r="H85" s="1">
        <f>SUM(OSRRefD21_16x_4)</f>
        <v>200</v>
      </c>
      <c r="I85" s="1">
        <f>SUM(OSRRefD21_16x_5)</f>
        <v>200</v>
      </c>
      <c r="J85" s="1">
        <f>SUM(OSRRefE21_16x_0)</f>
        <v>200</v>
      </c>
      <c r="K85" s="1">
        <f>SUM(OSRRefE21_16x_1)</f>
        <v>200</v>
      </c>
      <c r="L85" s="1">
        <f>SUM(OSRRefE21_16x_2)</f>
        <v>200</v>
      </c>
      <c r="M85" s="1">
        <f>SUM(OSRRefE21_16x_3)</f>
        <v>200</v>
      </c>
      <c r="N85" s="1">
        <f>SUM(OSRRefE21_16x_4)</f>
        <v>200</v>
      </c>
      <c r="O85" s="1">
        <f>SUM(OSRRefE21_16x_5)</f>
        <v>200</v>
      </c>
      <c r="Q85" s="2">
        <f>SUM(OSRRefD20_16x)+IFERROR(SUM(OSRRefE20_16x),0)</f>
        <v>2400</v>
      </c>
    </row>
    <row r="86" spans="1:17" s="35" customFormat="1" hidden="1" outlineLevel="1" x14ac:dyDescent="0.3">
      <c r="A86" s="34"/>
      <c r="B86" s="10" t="str">
        <f>CONCATENATE("          ","6274", " - ","UTILITIES")</f>
        <v xml:space="preserve">          6274 - UTILITIES</v>
      </c>
      <c r="C86" s="14"/>
      <c r="D86" s="2">
        <v>200</v>
      </c>
      <c r="E86" s="2">
        <v>200</v>
      </c>
      <c r="F86" s="2">
        <v>200</v>
      </c>
      <c r="G86" s="2">
        <v>200</v>
      </c>
      <c r="H86" s="2">
        <v>200</v>
      </c>
      <c r="I86" s="2">
        <v>200</v>
      </c>
      <c r="J86" s="2">
        <v>200</v>
      </c>
      <c r="K86" s="2">
        <v>200</v>
      </c>
      <c r="L86" s="2">
        <v>200</v>
      </c>
      <c r="M86" s="2">
        <v>200</v>
      </c>
      <c r="N86" s="2">
        <v>200</v>
      </c>
      <c r="O86" s="2">
        <v>200</v>
      </c>
      <c r="P86" s="9"/>
      <c r="Q86" s="2">
        <f>SUM(OSRRefD21_16_0x)+IFERROR(SUM(OSRRefE21_16_0x),0)</f>
        <v>2400</v>
      </c>
    </row>
    <row r="87" spans="1:17" s="29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G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>
        <f>--192</f>
        <v>192</v>
      </c>
      <c r="I88" s="3">
        <f>0</f>
        <v>0</v>
      </c>
      <c r="J88" s="3"/>
      <c r="K88" s="3"/>
      <c r="L88" s="3"/>
      <c r="M88" s="3"/>
      <c r="N88" s="3"/>
      <c r="O88" s="3"/>
      <c r="Q88" s="2">
        <f>SUM(OSRRefD23_0x)+IFERROR(SUM(OSRRefE23_0x),0)</f>
        <v>192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6">IFERROR(+D21-D24+D88, 0)</f>
        <v>-13284.030000000002</v>
      </c>
      <c r="E90" s="7">
        <f t="shared" si="6"/>
        <v>-19676.919999999998</v>
      </c>
      <c r="F90" s="7">
        <f t="shared" si="6"/>
        <v>3841.8999999999869</v>
      </c>
      <c r="G90" s="7">
        <f t="shared" si="6"/>
        <v>4109.7300000000032</v>
      </c>
      <c r="H90" s="7">
        <f t="shared" si="6"/>
        <v>-9356.7599999999911</v>
      </c>
      <c r="I90" s="7">
        <f t="shared" si="6"/>
        <v>-6088.9399999999878</v>
      </c>
      <c r="J90" s="7">
        <f t="shared" si="6"/>
        <v>-17680.223972307693</v>
      </c>
      <c r="K90" s="7">
        <f t="shared" si="6"/>
        <v>11431.28402215385</v>
      </c>
      <c r="L90" s="7">
        <f t="shared" si="6"/>
        <v>11391.028022153849</v>
      </c>
      <c r="M90" s="7">
        <f t="shared" si="6"/>
        <v>9099.5224276923036</v>
      </c>
      <c r="N90" s="7">
        <f t="shared" si="6"/>
        <v>2782.6136221538472</v>
      </c>
      <c r="O90" s="7">
        <f t="shared" si="6"/>
        <v>-16841.653577846155</v>
      </c>
      <c r="Q90" s="7">
        <f>IFERROR(+Q21-Q24+Q88, 0)</f>
        <v>-40272.449455999944</v>
      </c>
    </row>
    <row r="91" spans="1:17" s="6" customFormat="1" x14ac:dyDescent="0.3">
      <c r="B91" s="16"/>
      <c r="C91" s="16"/>
      <c r="D91" s="4">
        <f t="shared" ref="D91:O91" si="7">IFERROR(D90/D10, 0)</f>
        <v>0</v>
      </c>
      <c r="E91" s="4">
        <f t="shared" si="7"/>
        <v>-1.2808201656604448</v>
      </c>
      <c r="F91" s="4">
        <f t="shared" si="7"/>
        <v>5.8342132209871125E-2</v>
      </c>
      <c r="G91" s="4">
        <f t="shared" si="7"/>
        <v>4.680238960686374E-2</v>
      </c>
      <c r="H91" s="4">
        <f t="shared" si="7"/>
        <v>-0.20214228355994701</v>
      </c>
      <c r="I91" s="4">
        <f t="shared" si="7"/>
        <v>-0.11812216307110537</v>
      </c>
      <c r="J91" s="4">
        <f t="shared" si="7"/>
        <v>-0.5795274672973546</v>
      </c>
      <c r="K91" s="4">
        <f t="shared" si="7"/>
        <v>0.13056267014818113</v>
      </c>
      <c r="L91" s="4">
        <f t="shared" si="7"/>
        <v>0.13525002994649674</v>
      </c>
      <c r="M91" s="4">
        <f t="shared" si="7"/>
        <v>0.10873670507734219</v>
      </c>
      <c r="N91" s="4">
        <f t="shared" si="7"/>
        <v>4.6411702479423687E-2</v>
      </c>
      <c r="O91" s="4">
        <f t="shared" si="7"/>
        <v>-1.1704533725655817</v>
      </c>
      <c r="P91" s="18"/>
      <c r="Q91" s="4">
        <f>IFERROR(Q90/Q10, 0)</f>
        <v>-6.4212763850454144E-2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2295.6999999999998</v>
      </c>
      <c r="F93" s="3">
        <v>7756.61</v>
      </c>
      <c r="G93" s="3">
        <v>9485.49</v>
      </c>
      <c r="H93" s="3">
        <v>6108.41</v>
      </c>
      <c r="I93" s="3">
        <v>6475.95</v>
      </c>
      <c r="J93" s="3">
        <v>3250</v>
      </c>
      <c r="K93" s="3">
        <v>10192</v>
      </c>
      <c r="L93" s="3">
        <v>10138</v>
      </c>
      <c r="M93" s="3">
        <v>10713</v>
      </c>
      <c r="N93" s="3">
        <v>7833</v>
      </c>
      <c r="O93" s="3">
        <v>-3474</v>
      </c>
      <c r="Q93" s="2">
        <f>SUM(OSRRefD28_0x)+IFERROR(SUM(OSRRefE28_0x),0)</f>
        <v>70774.16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8">IFERROR(+D90-D93, 0)</f>
        <v>-13284.030000000002</v>
      </c>
      <c r="E95" s="8">
        <f t="shared" si="8"/>
        <v>-21972.62</v>
      </c>
      <c r="F95" s="8">
        <f t="shared" si="8"/>
        <v>-3914.7100000000128</v>
      </c>
      <c r="G95" s="8">
        <f t="shared" si="8"/>
        <v>-5375.7599999999966</v>
      </c>
      <c r="H95" s="8">
        <f t="shared" si="8"/>
        <v>-15465.169999999991</v>
      </c>
      <c r="I95" s="8">
        <f t="shared" si="8"/>
        <v>-12564.889999999989</v>
      </c>
      <c r="J95" s="8">
        <f t="shared" si="8"/>
        <v>-20930.223972307693</v>
      </c>
      <c r="K95" s="8">
        <f t="shared" si="8"/>
        <v>1239.2840221538499</v>
      </c>
      <c r="L95" s="8">
        <f t="shared" si="8"/>
        <v>1253.0280221538487</v>
      </c>
      <c r="M95" s="8">
        <f t="shared" si="8"/>
        <v>-1613.4775723076964</v>
      </c>
      <c r="N95" s="8">
        <f t="shared" si="8"/>
        <v>-5050.3863778461528</v>
      </c>
      <c r="O95" s="8">
        <f t="shared" si="8"/>
        <v>-13367.653577846155</v>
      </c>
      <c r="Q95" s="8">
        <f>IFERROR(+Q90-Q93, 0)</f>
        <v>-111046.60945599995</v>
      </c>
    </row>
    <row r="96" spans="1:17" ht="15" thickTop="1" x14ac:dyDescent="0.3">
      <c r="A96" s="5"/>
      <c r="B96" s="5"/>
      <c r="C96" s="5"/>
      <c r="D96" s="4">
        <f t="shared" ref="D96:O96" si="9">IFERROR(D95/D10, 0)</f>
        <v>0</v>
      </c>
      <c r="E96" s="4">
        <f t="shared" si="9"/>
        <v>-1.4302530471432522</v>
      </c>
      <c r="F96" s="4">
        <f t="shared" si="9"/>
        <v>-5.9447806653818713E-2</v>
      </c>
      <c r="G96" s="4">
        <f t="shared" si="9"/>
        <v>-6.122018087635768E-2</v>
      </c>
      <c r="H96" s="4">
        <f t="shared" si="9"/>
        <v>-0.3341076162520773</v>
      </c>
      <c r="I96" s="4">
        <f t="shared" si="9"/>
        <v>-0.24375211211647721</v>
      </c>
      <c r="J96" s="4">
        <f t="shared" si="9"/>
        <v>-0.6860569021996753</v>
      </c>
      <c r="K96" s="4">
        <f t="shared" si="9"/>
        <v>1.4154510612351805E-2</v>
      </c>
      <c r="L96" s="4">
        <f t="shared" si="9"/>
        <v>1.4877680679084428E-2</v>
      </c>
      <c r="M96" s="4">
        <f t="shared" si="9"/>
        <v>-1.9280598110841932E-2</v>
      </c>
      <c r="N96" s="4">
        <f t="shared" si="9"/>
        <v>-8.4236283510068427E-2</v>
      </c>
      <c r="O96" s="4">
        <f t="shared" si="9"/>
        <v>-0.92901894348781389</v>
      </c>
      <c r="P96" s="18"/>
      <c r="Q96" s="4">
        <f>IFERROR(Q95/Q10, 0)</f>
        <v>-0.17705925032402983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10">IFERROR(SUM(D95:D98), 0)</f>
        <v>-13284.030000000002</v>
      </c>
      <c r="E99" s="8">
        <f t="shared" si="10"/>
        <v>-21974.050253047142</v>
      </c>
      <c r="F99" s="8">
        <f t="shared" si="10"/>
        <v>-3914.7694478066664</v>
      </c>
      <c r="G99" s="8">
        <f t="shared" si="10"/>
        <v>-5375.8212201808728</v>
      </c>
      <c r="H99" s="8">
        <f t="shared" si="10"/>
        <v>-15465.504107616243</v>
      </c>
      <c r="I99" s="8">
        <f t="shared" si="10"/>
        <v>-12565.133752112106</v>
      </c>
      <c r="J99" s="8">
        <f t="shared" si="10"/>
        <v>-20930.910029209892</v>
      </c>
      <c r="K99" s="8">
        <f t="shared" si="10"/>
        <v>1239.2981766644623</v>
      </c>
      <c r="L99" s="8">
        <f t="shared" si="10"/>
        <v>1253.0428998345278</v>
      </c>
      <c r="M99" s="8">
        <f t="shared" si="10"/>
        <v>-1613.4968529058071</v>
      </c>
      <c r="N99" s="8">
        <f t="shared" si="10"/>
        <v>-5050.4706141296629</v>
      </c>
      <c r="O99" s="8">
        <f t="shared" si="10"/>
        <v>-13368.582596789644</v>
      </c>
      <c r="Q99" s="8">
        <f>IFERROR(SUM(Q95:Q98), 0)</f>
        <v>-111046.78651525028</v>
      </c>
    </row>
    <row r="100" spans="1:17" ht="15" thickTop="1" x14ac:dyDescent="0.3">
      <c r="A100" s="5"/>
      <c r="C100" s="5"/>
      <c r="D100" s="4">
        <f t="shared" ref="D100:O100" si="11">IFERROR(D99/D10, 0)</f>
        <v>0</v>
      </c>
      <c r="E100" s="4">
        <f t="shared" si="11"/>
        <v>-1.4303461459079359</v>
      </c>
      <c r="F100" s="4">
        <f t="shared" si="11"/>
        <v>-5.944870941333754E-2</v>
      </c>
      <c r="G100" s="4">
        <f t="shared" si="11"/>
        <v>-6.1220878063461742E-2</v>
      </c>
      <c r="H100" s="4">
        <f t="shared" si="11"/>
        <v>-0.33411483427161653</v>
      </c>
      <c r="I100" s="4">
        <f t="shared" si="11"/>
        <v>-0.24375684077643059</v>
      </c>
      <c r="J100" s="4">
        <f t="shared" si="11"/>
        <v>-0.68607938997016826</v>
      </c>
      <c r="K100" s="4">
        <f t="shared" si="11"/>
        <v>1.4154672278416318E-2</v>
      </c>
      <c r="L100" s="4">
        <f t="shared" si="11"/>
        <v>1.487785732747415E-2</v>
      </c>
      <c r="M100" s="4">
        <f t="shared" si="11"/>
        <v>-1.9280828508505893E-2</v>
      </c>
      <c r="N100" s="4">
        <f t="shared" si="11"/>
        <v>-8.4237688501870786E-2</v>
      </c>
      <c r="O100" s="4">
        <f t="shared" si="11"/>
        <v>-0.92908350801234574</v>
      </c>
      <c r="P100" s="18"/>
      <c r="Q100" s="4">
        <f>IFERROR(Q99/Q10, 0)</f>
        <v>-0.17705953263772026</v>
      </c>
    </row>
    <row r="101" spans="1:17" x14ac:dyDescent="0.3">
      <c r="A101" s="5"/>
      <c r="B101" s="28">
        <v>44575.850692245367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26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","406", " - ", "OPA! Greek")</f>
        <v>Department 406 - OPA! Greek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69.290000000000006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SUM(OSRRefE20x_0)</f>
        <v>0</v>
      </c>
      <c r="K17" s="12">
        <f>SUM(OSRRefE20x_1)</f>
        <v>0</v>
      </c>
      <c r="L17" s="12">
        <f>SUM(OSRRefE20x_2)</f>
        <v>0</v>
      </c>
      <c r="M17" s="12">
        <f>SUM(OSRRefE20x_3)</f>
        <v>0</v>
      </c>
      <c r="N17" s="12">
        <f>SUM(OSRRefE20x_4)</f>
        <v>0</v>
      </c>
      <c r="O17" s="12">
        <f>SUM(OSRRefE20x_5)</f>
        <v>0</v>
      </c>
      <c r="Q17" s="12">
        <f>SUM(OSRRefG20x)</f>
        <v>69.290000000000006</v>
      </c>
    </row>
    <row r="18" spans="1:17" s="35" customFormat="1" collapsed="1" x14ac:dyDescent="0.3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69.290000000000006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69.290000000000006</v>
      </c>
    </row>
    <row r="19" spans="1:17" s="35" customFormat="1" hidden="1" outlineLevel="1" x14ac:dyDescent="0.3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69.290000000000006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69.290000000000006</v>
      </c>
    </row>
    <row r="20" spans="1:17" s="29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I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-69.290000000000006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-69.290000000000006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-69.290000000000006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-69.290000000000006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-69.290000000000006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-69.290000000000006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28">
        <v>44575.850692245367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26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3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","411", " - ", "University Dining")</f>
        <v>Department 411 - University Dining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48551.94</v>
      </c>
      <c r="E17" s="12">
        <f>SUM(OSRRefD20x_1)</f>
        <v>57506.31</v>
      </c>
      <c r="F17" s="12">
        <f>SUM(OSRRefD20x_2)</f>
        <v>43697.029999999992</v>
      </c>
      <c r="G17" s="12">
        <f>SUM(OSRRefD20x_3)</f>
        <v>56438.829999999994</v>
      </c>
      <c r="H17" s="12">
        <f>SUM(OSRRefD20x_4)</f>
        <v>43690.44999999999</v>
      </c>
      <c r="I17" s="12">
        <f>SUM(OSRRefD20x_5)</f>
        <v>45301.119999999995</v>
      </c>
      <c r="J17" s="12">
        <f>SUM(OSRRefE20x_0)</f>
        <v>55882.665538461544</v>
      </c>
      <c r="K17" s="12">
        <f>SUM(OSRRefE20x_1)</f>
        <v>41947.132430769241</v>
      </c>
      <c r="L17" s="12">
        <f>SUM(OSRRefE20x_2)</f>
        <v>44372.132430769241</v>
      </c>
      <c r="M17" s="12">
        <f>SUM(OSRRefE20x_3)</f>
        <v>47582.665538461544</v>
      </c>
      <c r="N17" s="12">
        <f>SUM(OSRRefE20x_4)</f>
        <v>41372.132430769241</v>
      </c>
      <c r="O17" s="12">
        <f>SUM(OSRRefE20x_5)</f>
        <v>41372.132430769241</v>
      </c>
      <c r="Q17" s="12">
        <f>SUM(OSRRefG20x)</f>
        <v>567714.54080000008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SUM(OSRRefD21_0x_1)</f>
        <v>9143.380000000001</v>
      </c>
      <c r="F18" s="1">
        <f>SUM(OSRRefD21_0x_2)</f>
        <v>9232</v>
      </c>
      <c r="G18" s="1">
        <f>SUM(OSRRefD21_0x_3)</f>
        <v>12482.669999999998</v>
      </c>
      <c r="H18" s="1">
        <f>SUM(OSRRefD21_0x_4)</f>
        <v>9629.68</v>
      </c>
      <c r="I18" s="1">
        <f>SUM(OSRRefD21_0x_5)</f>
        <v>9492.89</v>
      </c>
      <c r="J18" s="1">
        <f>SUM(OSRRefE21_0x_0)</f>
        <v>9825.5116923077076</v>
      </c>
      <c r="K18" s="1">
        <f>SUM(OSRRefE21_0x_1)</f>
        <v>8483.2093538461559</v>
      </c>
      <c r="L18" s="1">
        <f>SUM(OSRRefE21_0x_2)</f>
        <v>8483.2093538461559</v>
      </c>
      <c r="M18" s="1">
        <f>SUM(OSRRefE21_0x_3)</f>
        <v>9825.5116923077076</v>
      </c>
      <c r="N18" s="1">
        <f>SUM(OSRRefE21_0x_4)</f>
        <v>8483.2093538461559</v>
      </c>
      <c r="O18" s="1">
        <f>SUM(OSRRefE21_0x_5)</f>
        <v>8483.2093538461559</v>
      </c>
      <c r="Q18" s="2">
        <f>SUM(OSRRefD20_0x)+IFERROR(SUM(OSRRefE20_0x),0)</f>
        <v>112549.79080000005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1346.24</v>
      </c>
      <c r="F19" s="2">
        <v>1459.25</v>
      </c>
      <c r="G19" s="2">
        <v>2044.79</v>
      </c>
      <c r="H19" s="2">
        <v>1391.08</v>
      </c>
      <c r="I19" s="2">
        <v>1254.71</v>
      </c>
      <c r="J19" s="2">
        <v>1697.78861538462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17641.6708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224.03</v>
      </c>
      <c r="F20" s="2">
        <v>224.03</v>
      </c>
      <c r="G20" s="2">
        <v>337.02</v>
      </c>
      <c r="H20" s="2">
        <v>232.92</v>
      </c>
      <c r="I20" s="2">
        <v>230.98</v>
      </c>
      <c r="J20" s="2">
        <v>840.79692307692505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5843.2240000000056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3318.36</v>
      </c>
      <c r="F21" s="2">
        <v>3337.11</v>
      </c>
      <c r="G21" s="2">
        <v>3318.36</v>
      </c>
      <c r="H21" s="2">
        <v>3318.36</v>
      </c>
      <c r="I21" s="2">
        <v>3318.36</v>
      </c>
      <c r="J21" s="2">
        <v>2764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36512.910000000003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45.15</v>
      </c>
      <c r="F22" s="2">
        <v>45.15</v>
      </c>
      <c r="G22" s="2">
        <v>67.930000000000007</v>
      </c>
      <c r="H22" s="2">
        <v>46.94</v>
      </c>
      <c r="I22" s="2">
        <v>46.55</v>
      </c>
      <c r="J22" s="2">
        <v>46.5876923076924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538.73600000000044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1873.21</v>
      </c>
      <c r="F23" s="2">
        <v>1873.21</v>
      </c>
      <c r="G23" s="2">
        <v>2809.81</v>
      </c>
      <c r="H23" s="2">
        <v>1948.13</v>
      </c>
      <c r="I23" s="2">
        <v>1948.13</v>
      </c>
      <c r="J23" s="2">
        <v>1907.8769230769301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22246.660000000022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1518.94</v>
      </c>
      <c r="F25" s="2">
        <v>1518.94</v>
      </c>
      <c r="G25" s="2">
        <v>2278.41</v>
      </c>
      <c r="H25" s="2">
        <v>1579.7</v>
      </c>
      <c r="I25" s="2">
        <v>1579.7</v>
      </c>
      <c r="J25" s="2">
        <v>2060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20706.63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510.58</v>
      </c>
      <c r="F26" s="2">
        <v>510.58</v>
      </c>
      <c r="G26" s="2">
        <v>1191.21</v>
      </c>
      <c r="H26" s="2">
        <v>825.9</v>
      </c>
      <c r="I26" s="2">
        <v>825.9</v>
      </c>
      <c r="J26" s="2">
        <v>158.46153846153899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5198.7500000000018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306.87</v>
      </c>
      <c r="F27" s="2">
        <v>263.73</v>
      </c>
      <c r="G27" s="2">
        <v>435.14</v>
      </c>
      <c r="H27" s="2">
        <v>286.64999999999998</v>
      </c>
      <c r="I27" s="2">
        <v>288.56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3861.21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SUM(OSRRefD21_1x_1)</f>
        <v>15601.960000000001</v>
      </c>
      <c r="F28" s="1">
        <f>SUM(OSRRefD21_1x_2)</f>
        <v>17388.849999999999</v>
      </c>
      <c r="G28" s="1">
        <f>SUM(OSRRefD21_1x_3)</f>
        <v>18497.079999999998</v>
      </c>
      <c r="H28" s="1">
        <f>SUM(OSRRefD21_1x_4)</f>
        <v>15092.41</v>
      </c>
      <c r="I28" s="1">
        <f>SUM(OSRRefD21_1x_5)</f>
        <v>15747.88</v>
      </c>
      <c r="J28" s="1">
        <f>SUM(OSRRefE21_1x_0)</f>
        <v>19966.15384615384</v>
      </c>
      <c r="K28" s="1">
        <f>SUM(OSRRefE21_1x_1)</f>
        <v>15972.923076923082</v>
      </c>
      <c r="L28" s="1">
        <f>SUM(OSRRefE21_1x_2)</f>
        <v>15972.923076923082</v>
      </c>
      <c r="M28" s="1">
        <f>SUM(OSRRefE21_1x_3)</f>
        <v>19966.15384615384</v>
      </c>
      <c r="N28" s="1">
        <f>SUM(OSRRefE21_1x_4)</f>
        <v>15972.923076923082</v>
      </c>
      <c r="O28" s="1">
        <f>SUM(OSRRefE21_1x_5)</f>
        <v>15972.923076923082</v>
      </c>
      <c r="Q28" s="2">
        <f>SUM(OSRRefD20_1x)+IFERROR(SUM(OSRRefE20_1x),0)</f>
        <v>207673.14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8855.42</v>
      </c>
      <c r="F29" s="2">
        <v>10515.82</v>
      </c>
      <c r="G29" s="2">
        <v>10516.14</v>
      </c>
      <c r="H29" s="2">
        <v>9209.65</v>
      </c>
      <c r="I29" s="2">
        <v>10936.46</v>
      </c>
      <c r="J29" s="2">
        <v>12835.384615384601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130613.77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6147.68</v>
      </c>
      <c r="F30" s="2">
        <v>5532.91</v>
      </c>
      <c r="G30" s="2">
        <v>7377.14</v>
      </c>
      <c r="H30" s="2">
        <v>5754.22</v>
      </c>
      <c r="I30" s="2">
        <v>4475.5</v>
      </c>
      <c r="J30" s="2">
        <v>7130.7692307692396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74052.13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312.5</v>
      </c>
      <c r="G32" s="2">
        <v>603.79999999999995</v>
      </c>
      <c r="H32" s="2">
        <v>128.54</v>
      </c>
      <c r="I32" s="2">
        <v>335.92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1380.76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230.86</v>
      </c>
      <c r="F33" s="2">
        <v>1395.62</v>
      </c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1626.48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>
        <v>368</v>
      </c>
      <c r="F35" s="2">
        <v>-368</v>
      </c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SUM(OSRRefD21_2x_1)</f>
        <v>242.91</v>
      </c>
      <c r="F39" s="1">
        <f>SUM(OSRRefD21_2x_2)</f>
        <v>242.91</v>
      </c>
      <c r="G39" s="1">
        <f>SUM(OSRRefD21_2x_3)</f>
        <v>242.7</v>
      </c>
      <c r="H39" s="1">
        <f>SUM(OSRRefD21_2x_4)</f>
        <v>167.96</v>
      </c>
      <c r="I39" s="1">
        <f>SUM(OSRRefD21_2x_5)</f>
        <v>267</v>
      </c>
      <c r="J39" s="1">
        <f>SUM(OSRRefE21_2x_0)</f>
        <v>839</v>
      </c>
      <c r="K39" s="1">
        <f>SUM(OSRRefE21_2x_1)</f>
        <v>839</v>
      </c>
      <c r="L39" s="1">
        <f>SUM(OSRRefE21_2x_2)</f>
        <v>839</v>
      </c>
      <c r="M39" s="1">
        <f>SUM(OSRRefE21_2x_3)</f>
        <v>839</v>
      </c>
      <c r="N39" s="1">
        <f>SUM(OSRRefE21_2x_4)</f>
        <v>839</v>
      </c>
      <c r="O39" s="1">
        <f>SUM(OSRRefE21_2x_5)</f>
        <v>839</v>
      </c>
      <c r="Q39" s="2">
        <f>SUM(OSRRefD20_2x)+IFERROR(SUM(OSRRefE20_2x),0)</f>
        <v>6440.39</v>
      </c>
    </row>
    <row r="40" spans="1:17" s="35" customFormat="1" hidden="1" outlineLevel="1" x14ac:dyDescent="0.3">
      <c r="A40" s="34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242.91</v>
      </c>
      <c r="F40" s="2">
        <v>242.91</v>
      </c>
      <c r="G40" s="2">
        <v>242.7</v>
      </c>
      <c r="H40" s="2">
        <v>167.96</v>
      </c>
      <c r="I40" s="2">
        <v>267</v>
      </c>
      <c r="J40" s="2">
        <v>839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6440.39</v>
      </c>
    </row>
    <row r="41" spans="1:17" s="35" customFormat="1" collapsed="1" x14ac:dyDescent="0.3">
      <c r="A41" s="34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SUM(OSRRefD21_3x_1)</f>
        <v>5331.53</v>
      </c>
      <c r="F41" s="1">
        <f>SUM(OSRRefD21_3x_2)</f>
        <v>5331.53</v>
      </c>
      <c r="G41" s="1">
        <f>SUM(OSRRefD21_3x_3)</f>
        <v>5331.53</v>
      </c>
      <c r="H41" s="1">
        <f>SUM(OSRRefD21_3x_4)</f>
        <v>5331.53</v>
      </c>
      <c r="I41" s="1">
        <f>SUM(OSRRefD21_3x_5)</f>
        <v>5331.53</v>
      </c>
      <c r="J41" s="1">
        <f>SUM(OSRRefE21_3x_0)</f>
        <v>5332</v>
      </c>
      <c r="K41" s="1">
        <f>SUM(OSRRefE21_3x_1)</f>
        <v>5332</v>
      </c>
      <c r="L41" s="1">
        <f>SUM(OSRRefE21_3x_2)</f>
        <v>4757</v>
      </c>
      <c r="M41" s="1">
        <f>SUM(OSRRefE21_3x_3)</f>
        <v>4757</v>
      </c>
      <c r="N41" s="1">
        <f>SUM(OSRRefE21_3x_4)</f>
        <v>4757</v>
      </c>
      <c r="O41" s="1">
        <f>SUM(OSRRefE21_3x_5)</f>
        <v>4757</v>
      </c>
      <c r="Q41" s="2">
        <f>SUM(OSRRefD20_3x)+IFERROR(SUM(OSRRefE20_3x),0)</f>
        <v>61681.179999999993</v>
      </c>
    </row>
    <row r="42" spans="1:17" s="35" customFormat="1" hidden="1" outlineLevel="1" x14ac:dyDescent="0.3">
      <c r="A42" s="34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>
        <v>1822.68</v>
      </c>
      <c r="F42" s="2">
        <v>1822.68</v>
      </c>
      <c r="G42" s="2">
        <v>1822.68</v>
      </c>
      <c r="H42" s="2">
        <v>1822.68</v>
      </c>
      <c r="I42" s="2">
        <v>1822.68</v>
      </c>
      <c r="J42" s="2"/>
      <c r="K42" s="2"/>
      <c r="L42" s="2"/>
      <c r="M42" s="2"/>
      <c r="N42" s="2"/>
      <c r="O42" s="2"/>
      <c r="P42" s="9"/>
      <c r="Q42" s="2">
        <f>SUM(OSRRefD21_3_0x)+IFERROR(SUM(OSRRefE21_3_0x),0)</f>
        <v>10936.08</v>
      </c>
    </row>
    <row r="43" spans="1:17" s="35" customFormat="1" hidden="1" outlineLevel="1" x14ac:dyDescent="0.3">
      <c r="A43" s="34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3508.85</v>
      </c>
      <c r="F43" s="2">
        <v>3508.85</v>
      </c>
      <c r="G43" s="2">
        <v>3508.85</v>
      </c>
      <c r="H43" s="2">
        <v>3508.85</v>
      </c>
      <c r="I43" s="2">
        <v>3508.85</v>
      </c>
      <c r="J43" s="2">
        <v>5332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50745.1</v>
      </c>
    </row>
    <row r="44" spans="1:17" s="35" customFormat="1" collapsed="1" x14ac:dyDescent="0.3">
      <c r="A44" s="34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18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SUM(OSRRefE21_4x_0)</f>
        <v>0</v>
      </c>
      <c r="K44" s="1">
        <f>SUM(OSRRefE21_4x_1)</f>
        <v>0</v>
      </c>
      <c r="L44" s="1">
        <f>SUM(OSRRefE21_4x_2)</f>
        <v>0</v>
      </c>
      <c r="M44" s="1">
        <f>SUM(OSRRefE21_4x_3)</f>
        <v>0</v>
      </c>
      <c r="N44" s="1">
        <f>SUM(OSRRefE21_4x_4)</f>
        <v>0</v>
      </c>
      <c r="O44" s="1">
        <f>SUM(OSRRefE21_4x_5)</f>
        <v>0</v>
      </c>
      <c r="Q44" s="2">
        <f>SUM(OSRRefD20_4x)+IFERROR(SUM(OSRRefE20_4x),0)</f>
        <v>18</v>
      </c>
    </row>
    <row r="45" spans="1:17" s="35" customFormat="1" hidden="1" outlineLevel="1" x14ac:dyDescent="0.3">
      <c r="A45" s="34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18</v>
      </c>
    </row>
    <row r="46" spans="1:17" s="35" customFormat="1" collapsed="1" x14ac:dyDescent="0.3">
      <c r="A46" s="34"/>
      <c r="B46" s="14" t="str">
        <f>CONCATENATE("     ","Equipment Rental                                  ")</f>
        <v xml:space="preserve">     Equipment Rental                                  </v>
      </c>
      <c r="C46" s="14"/>
      <c r="D46" s="1">
        <f>SUM(OSRRefD21_5x_0)</f>
        <v>91.26</v>
      </c>
      <c r="E46" s="1">
        <f>SUM(OSRRefD21_5x_1)</f>
        <v>91.26</v>
      </c>
      <c r="F46" s="1">
        <f>SUM(OSRRefD21_5x_2)</f>
        <v>91.26</v>
      </c>
      <c r="G46" s="1">
        <f>SUM(OSRRefD21_5x_3)</f>
        <v>91.26</v>
      </c>
      <c r="H46" s="1">
        <f>SUM(OSRRefD21_5x_4)</f>
        <v>91.26</v>
      </c>
      <c r="I46" s="1">
        <f>SUM(OSRRefD21_5x_5)</f>
        <v>91.26</v>
      </c>
      <c r="J46" s="1">
        <f>SUM(OSRRefE21_5x_0)</f>
        <v>300</v>
      </c>
      <c r="K46" s="1">
        <f>SUM(OSRRefE21_5x_1)</f>
        <v>300</v>
      </c>
      <c r="L46" s="1">
        <f>SUM(OSRRefE21_5x_2)</f>
        <v>300</v>
      </c>
      <c r="M46" s="1">
        <f>SUM(OSRRefE21_5x_3)</f>
        <v>300</v>
      </c>
      <c r="N46" s="1">
        <f>SUM(OSRRefE21_5x_4)</f>
        <v>300</v>
      </c>
      <c r="O46" s="1">
        <f>SUM(OSRRefE21_5x_5)</f>
        <v>300</v>
      </c>
      <c r="Q46" s="2">
        <f>SUM(OSRRefD20_5x)+IFERROR(SUM(OSRRefE20_5x),0)</f>
        <v>2347.56</v>
      </c>
    </row>
    <row r="47" spans="1:17" s="35" customFormat="1" hidden="1" outlineLevel="1" x14ac:dyDescent="0.3">
      <c r="A47" s="34"/>
      <c r="B47" s="10" t="str">
        <f>CONCATENATE("          ","6351", " - ","EQUIPMENT RENTAL")</f>
        <v xml:space="preserve">          6351 - EQUIPMENT RENTAL</v>
      </c>
      <c r="C47" s="14"/>
      <c r="D47" s="2">
        <v>91.26</v>
      </c>
      <c r="E47" s="2">
        <v>91.26</v>
      </c>
      <c r="F47" s="2">
        <v>91.26</v>
      </c>
      <c r="G47" s="2">
        <v>91.26</v>
      </c>
      <c r="H47" s="2">
        <v>91.26</v>
      </c>
      <c r="I47" s="2">
        <v>91.26</v>
      </c>
      <c r="J47" s="2">
        <v>300</v>
      </c>
      <c r="K47" s="2">
        <v>300</v>
      </c>
      <c r="L47" s="2">
        <v>300</v>
      </c>
      <c r="M47" s="2">
        <v>300</v>
      </c>
      <c r="N47" s="2">
        <v>300</v>
      </c>
      <c r="O47" s="2">
        <v>300</v>
      </c>
      <c r="P47" s="9"/>
      <c r="Q47" s="2">
        <f>SUM(OSRRefD21_5_0x)+IFERROR(SUM(OSRRefE21_5_0x),0)</f>
        <v>2347.56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122.51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SUM(OSRRefE21_6x_0)</f>
        <v>0</v>
      </c>
      <c r="K48" s="1">
        <f>SUM(OSRRefE21_6x_1)</f>
        <v>0</v>
      </c>
      <c r="L48" s="1">
        <f>SUM(OSRRefE21_6x_2)</f>
        <v>0</v>
      </c>
      <c r="M48" s="1">
        <f>SUM(OSRRefE21_6x_3)</f>
        <v>0</v>
      </c>
      <c r="N48" s="1">
        <f>SUM(OSRRefE21_6x_4)</f>
        <v>0</v>
      </c>
      <c r="O48" s="1">
        <f>SUM(OSRRefE21_6x_5)</f>
        <v>0</v>
      </c>
      <c r="Q48" s="2">
        <f>SUM(OSRRefD20_6x)+IFERROR(SUM(OSRRefE20_6x),0)</f>
        <v>122.51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>
        <v>122.51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122.51</v>
      </c>
    </row>
    <row r="50" spans="1:17" s="35" customFormat="1" collapsed="1" x14ac:dyDescent="0.3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4884.6000000000004</v>
      </c>
      <c r="E50" s="1">
        <f>SUM(OSRRefD21_7x_1)</f>
        <v>4884.6000000000004</v>
      </c>
      <c r="F50" s="1">
        <f>SUM(OSRRefD21_7x_2)</f>
        <v>4884.6000000000004</v>
      </c>
      <c r="G50" s="1">
        <f>SUM(OSRRefD21_7x_3)</f>
        <v>11767.6</v>
      </c>
      <c r="H50" s="1">
        <f>SUM(OSRRefD21_7x_4)</f>
        <v>4884.6000000000004</v>
      </c>
      <c r="I50" s="1">
        <f>SUM(OSRRefD21_7x_5)</f>
        <v>4884.6000000000004</v>
      </c>
      <c r="J50" s="1">
        <f>SUM(OSRRefE21_7x_0)</f>
        <v>4820</v>
      </c>
      <c r="K50" s="1">
        <f>SUM(OSRRefE21_7x_1)</f>
        <v>4820</v>
      </c>
      <c r="L50" s="1">
        <f>SUM(OSRRefE21_7x_2)</f>
        <v>4820</v>
      </c>
      <c r="M50" s="1">
        <f>SUM(OSRRefE21_7x_3)</f>
        <v>4820</v>
      </c>
      <c r="N50" s="1">
        <f>SUM(OSRRefE21_7x_4)</f>
        <v>4820</v>
      </c>
      <c r="O50" s="1">
        <f>SUM(OSRRefE21_7x_5)</f>
        <v>4820</v>
      </c>
      <c r="Q50" s="2">
        <f>SUM(OSRRefD20_7x)+IFERROR(SUM(OSRRefE20_7x),0)</f>
        <v>65110.6</v>
      </c>
    </row>
    <row r="51" spans="1:17" s="35" customFormat="1" hidden="1" outlineLevel="1" x14ac:dyDescent="0.3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4884.6000000000004</v>
      </c>
      <c r="E51" s="2">
        <v>4884.6000000000004</v>
      </c>
      <c r="F51" s="2">
        <v>4884.6000000000004</v>
      </c>
      <c r="G51" s="2">
        <v>11767.6</v>
      </c>
      <c r="H51" s="2">
        <v>4884.6000000000004</v>
      </c>
      <c r="I51" s="2">
        <v>4884.6000000000004</v>
      </c>
      <c r="J51" s="2">
        <v>4820</v>
      </c>
      <c r="K51" s="2">
        <v>4820</v>
      </c>
      <c r="L51" s="2">
        <v>4820</v>
      </c>
      <c r="M51" s="2">
        <v>4820</v>
      </c>
      <c r="N51" s="2">
        <v>4820</v>
      </c>
      <c r="O51" s="2">
        <v>4820</v>
      </c>
      <c r="P51" s="9"/>
      <c r="Q51" s="2">
        <f>SUM(OSRRefD21_7_0x)+IFERROR(SUM(OSRRefE21_7_0x),0)</f>
        <v>65110.6</v>
      </c>
    </row>
    <row r="52" spans="1:17" s="35" customFormat="1" collapsed="1" x14ac:dyDescent="0.3">
      <c r="A52" s="34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SUM(OSRRefD21_8x_0)</f>
        <v>877.46</v>
      </c>
      <c r="E52" s="1">
        <f>SUM(OSRRefD21_8x_1)</f>
        <v>12058.39</v>
      </c>
      <c r="F52" s="1">
        <f>SUM(OSRRefD21_8x_2)</f>
        <v>83.83</v>
      </c>
      <c r="G52" s="1">
        <f>SUM(OSRRefD21_8x_3)</f>
        <v>1442.53</v>
      </c>
      <c r="H52" s="1">
        <f>SUM(OSRRefD21_8x_4)</f>
        <v>2067.02</v>
      </c>
      <c r="I52" s="1">
        <f>SUM(OSRRefD21_8x_5)</f>
        <v>3229.56</v>
      </c>
      <c r="J52" s="1">
        <f>SUM(OSRRefE21_8x_0)</f>
        <v>8000</v>
      </c>
      <c r="K52" s="1">
        <f>SUM(OSRRefE21_8x_1)</f>
        <v>0</v>
      </c>
      <c r="L52" s="1">
        <f>SUM(OSRRefE21_8x_2)</f>
        <v>0</v>
      </c>
      <c r="M52" s="1">
        <f>SUM(OSRRefE21_8x_3)</f>
        <v>0</v>
      </c>
      <c r="N52" s="1">
        <f>SUM(OSRRefE21_8x_4)</f>
        <v>0</v>
      </c>
      <c r="O52" s="1">
        <f>SUM(OSRRefE21_8x_5)</f>
        <v>0</v>
      </c>
      <c r="Q52" s="2">
        <f>SUM(OSRRefD20_8x)+IFERROR(SUM(OSRRefE20_8x),0)</f>
        <v>27758.79</v>
      </c>
    </row>
    <row r="53" spans="1:17" s="35" customFormat="1" hidden="1" outlineLevel="1" x14ac:dyDescent="0.3">
      <c r="A53" s="34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>
        <v>5177.72</v>
      </c>
      <c r="F53" s="2"/>
      <c r="G53" s="2">
        <v>159.68</v>
      </c>
      <c r="H53" s="2">
        <v>380.32</v>
      </c>
      <c r="I53" s="2">
        <v>618.36</v>
      </c>
      <c r="J53" s="2"/>
      <c r="K53" s="2"/>
      <c r="L53" s="2"/>
      <c r="M53" s="2"/>
      <c r="N53" s="2"/>
      <c r="O53" s="2"/>
      <c r="P53" s="9"/>
      <c r="Q53" s="2">
        <f>SUM(OSRRefD21_8_0x)+IFERROR(SUM(OSRRefE21_8_0x),0)</f>
        <v>6336.08</v>
      </c>
    </row>
    <row r="54" spans="1:17" s="35" customFormat="1" hidden="1" outlineLevel="1" x14ac:dyDescent="0.3">
      <c r="A54" s="34"/>
      <c r="B54" s="10" t="str">
        <f>CONCATENATE("          ","6372", " - ","COMPUTER HARDWARE MAINTENANCE")</f>
        <v xml:space="preserve">          6372 - COMPUTER HARDWARE MAINTENANCE</v>
      </c>
      <c r="C54" s="14"/>
      <c r="D54" s="2"/>
      <c r="E54" s="2"/>
      <c r="F54" s="2"/>
      <c r="G54" s="2"/>
      <c r="H54" s="2"/>
      <c r="I54" s="2"/>
      <c r="J54" s="2">
        <v>8000</v>
      </c>
      <c r="K54" s="2"/>
      <c r="L54" s="2"/>
      <c r="M54" s="2"/>
      <c r="N54" s="2"/>
      <c r="O54" s="2"/>
      <c r="P54" s="9"/>
      <c r="Q54" s="2">
        <f>SUM(OSRRefD21_8_1x)+IFERROR(SUM(OSRRefE21_8_1x),0)</f>
        <v>8000</v>
      </c>
    </row>
    <row r="55" spans="1:17" s="35" customFormat="1" hidden="1" outlineLevel="1" x14ac:dyDescent="0.3">
      <c r="A55" s="34"/>
      <c r="B55" s="10" t="str">
        <f>CONCATENATE("          ","6373", " - ","MAINTENANCE CONTRACTS")</f>
        <v xml:space="preserve">          6373 - MAINTENANCE CONTRACTS</v>
      </c>
      <c r="C55" s="14"/>
      <c r="D55" s="2">
        <v>0.87</v>
      </c>
      <c r="E55" s="2"/>
      <c r="F55" s="2">
        <v>83.83</v>
      </c>
      <c r="G55" s="2">
        <v>1282.8499999999999</v>
      </c>
      <c r="H55" s="2">
        <v>1241.7</v>
      </c>
      <c r="I55" s="2">
        <v>2611.1999999999998</v>
      </c>
      <c r="J55" s="2"/>
      <c r="K55" s="2"/>
      <c r="L55" s="2"/>
      <c r="M55" s="2"/>
      <c r="N55" s="2"/>
      <c r="O55" s="2"/>
      <c r="P55" s="9"/>
      <c r="Q55" s="2">
        <f>SUM(OSRRefD21_8_2x)+IFERROR(SUM(OSRRefE21_8_2x),0)</f>
        <v>5220.45</v>
      </c>
    </row>
    <row r="56" spans="1:17" s="35" customFormat="1" hidden="1" outlineLevel="1" x14ac:dyDescent="0.3">
      <c r="A56" s="34"/>
      <c r="B56" s="10" t="str">
        <f>CONCATENATE("          ","6375", " - ","OUTSIDE REPAIRS &amp; MAINTENANCE")</f>
        <v xml:space="preserve">          6375 - OUTSIDE REPAIRS &amp; MAINTENANCE</v>
      </c>
      <c r="C56" s="14"/>
      <c r="D56" s="2">
        <v>876.59</v>
      </c>
      <c r="E56" s="2">
        <v>6880.67</v>
      </c>
      <c r="F56" s="2"/>
      <c r="G56" s="2"/>
      <c r="H56" s="2">
        <v>445</v>
      </c>
      <c r="I56" s="2"/>
      <c r="J56" s="2"/>
      <c r="K56" s="2"/>
      <c r="L56" s="2"/>
      <c r="M56" s="2"/>
      <c r="N56" s="2"/>
      <c r="O56" s="2"/>
      <c r="P56" s="9"/>
      <c r="Q56" s="2">
        <f>SUM(OSRRefD21_8_3x)+IFERROR(SUM(OSRRefE21_8_3x),0)</f>
        <v>8202.26</v>
      </c>
    </row>
    <row r="57" spans="1:17" s="35" customFormat="1" collapsed="1" x14ac:dyDescent="0.3">
      <c r="A57" s="34"/>
      <c r="B57" s="14" t="str">
        <f>CONCATENATE("     ","Services                                          ")</f>
        <v xml:space="preserve">     Services                                          </v>
      </c>
      <c r="C57" s="14"/>
      <c r="D57" s="1">
        <f>SUM(OSRRefD21_9x_0)</f>
        <v>670.1</v>
      </c>
      <c r="E57" s="1">
        <f>SUM(OSRRefD21_9x_1)</f>
        <v>4344.42</v>
      </c>
      <c r="F57" s="1">
        <f>SUM(OSRRefD21_9x_2)</f>
        <v>670.1</v>
      </c>
      <c r="G57" s="1">
        <f>SUM(OSRRefD21_9x_3)</f>
        <v>670.1</v>
      </c>
      <c r="H57" s="1">
        <f>SUM(OSRRefD21_9x_4)</f>
        <v>670.1</v>
      </c>
      <c r="I57" s="1">
        <f>SUM(OSRRefD21_9x_5)</f>
        <v>670.1</v>
      </c>
      <c r="J57" s="1">
        <f>SUM(OSRRefE21_9x_0)</f>
        <v>650</v>
      </c>
      <c r="K57" s="1">
        <f>SUM(OSRRefE21_9x_1)</f>
        <v>650</v>
      </c>
      <c r="L57" s="1">
        <f>SUM(OSRRefE21_9x_2)</f>
        <v>650</v>
      </c>
      <c r="M57" s="1">
        <f>SUM(OSRRefE21_9x_3)</f>
        <v>1525</v>
      </c>
      <c r="N57" s="1">
        <f>SUM(OSRRefE21_9x_4)</f>
        <v>650</v>
      </c>
      <c r="O57" s="1">
        <f>SUM(OSRRefE21_9x_5)</f>
        <v>650</v>
      </c>
      <c r="Q57" s="2">
        <f>SUM(OSRRefD20_9x)+IFERROR(SUM(OSRRefE20_9x),0)</f>
        <v>12469.920000000002</v>
      </c>
    </row>
    <row r="58" spans="1:17" s="35" customFormat="1" hidden="1" outlineLevel="1" x14ac:dyDescent="0.3">
      <c r="A58" s="34"/>
      <c r="B58" s="10" t="str">
        <f>CONCATENATE("          ","6282", " - ","JANITORIAL/EXTERMINATOR EXPENS")</f>
        <v xml:space="preserve">          6282 - JANITORIAL/EXTERMINATOR EXPENS</v>
      </c>
      <c r="C58" s="14"/>
      <c r="D58" s="2">
        <v>670.1</v>
      </c>
      <c r="E58" s="2">
        <v>670.1</v>
      </c>
      <c r="F58" s="2">
        <v>670.1</v>
      </c>
      <c r="G58" s="2">
        <v>670.1</v>
      </c>
      <c r="H58" s="2">
        <v>670.1</v>
      </c>
      <c r="I58" s="2">
        <v>670.1</v>
      </c>
      <c r="J58" s="2">
        <v>650</v>
      </c>
      <c r="K58" s="2">
        <v>650</v>
      </c>
      <c r="L58" s="2">
        <v>650</v>
      </c>
      <c r="M58" s="2">
        <v>650</v>
      </c>
      <c r="N58" s="2">
        <v>650</v>
      </c>
      <c r="O58" s="2">
        <v>650</v>
      </c>
      <c r="P58" s="9"/>
      <c r="Q58" s="2">
        <f>SUM(OSRRefD21_9_0x)+IFERROR(SUM(OSRRefE21_9_0x),0)</f>
        <v>7920.6</v>
      </c>
    </row>
    <row r="59" spans="1:17" s="35" customFormat="1" hidden="1" outlineLevel="1" x14ac:dyDescent="0.3">
      <c r="A59" s="34"/>
      <c r="B59" s="10" t="str">
        <f>CONCATENATE("          ","6285", " - ","JANITORIAL SERVICES")</f>
        <v xml:space="preserve">          6285 - JANITORIAL SERVICES</v>
      </c>
      <c r="C59" s="14"/>
      <c r="D59" s="2"/>
      <c r="E59" s="2">
        <v>3674.32</v>
      </c>
      <c r="F59" s="2"/>
      <c r="G59" s="2"/>
      <c r="H59" s="2"/>
      <c r="I59" s="2"/>
      <c r="J59" s="2"/>
      <c r="K59" s="2"/>
      <c r="L59" s="2"/>
      <c r="M59" s="2">
        <v>875</v>
      </c>
      <c r="N59" s="2"/>
      <c r="O59" s="2"/>
      <c r="P59" s="9"/>
      <c r="Q59" s="2">
        <f>SUM(OSRRefD21_9_1x)+IFERROR(SUM(OSRRefE21_9_1x),0)</f>
        <v>4549.32</v>
      </c>
    </row>
    <row r="60" spans="1:17" s="35" customFormat="1" collapsed="1" x14ac:dyDescent="0.3">
      <c r="A60" s="34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SUM(OSRRefD21_10x_0)</f>
        <v>155.75</v>
      </c>
      <c r="E60" s="1">
        <f>SUM(OSRRefD21_10x_1)</f>
        <v>4.41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SUM(OSRRefE21_10x_0)</f>
        <v>0</v>
      </c>
      <c r="K60" s="1">
        <f>SUM(OSRRefE21_10x_1)</f>
        <v>0</v>
      </c>
      <c r="L60" s="1">
        <f>SUM(OSRRefE21_10x_2)</f>
        <v>0</v>
      </c>
      <c r="M60" s="1">
        <f>SUM(OSRRefE21_10x_3)</f>
        <v>0</v>
      </c>
      <c r="N60" s="1">
        <f>SUM(OSRRefE21_10x_4)</f>
        <v>0</v>
      </c>
      <c r="O60" s="1">
        <f>SUM(OSRRefE21_10x_5)</f>
        <v>0</v>
      </c>
      <c r="Q60" s="2">
        <f>SUM(OSRRefD20_10x)+IFERROR(SUM(OSRRefE20_10x),0)</f>
        <v>160.16</v>
      </c>
    </row>
    <row r="61" spans="1:17" s="35" customFormat="1" hidden="1" outlineLevel="1" x14ac:dyDescent="0.3">
      <c r="A61" s="34"/>
      <c r="B61" s="10" t="str">
        <f>CONCATENATE("          ","6241", " - ","OFFICE EXPENSE")</f>
        <v xml:space="preserve">          6241 - OFFICE EXPENSE</v>
      </c>
      <c r="C61" s="14"/>
      <c r="D61" s="2">
        <v>155.75</v>
      </c>
      <c r="E61" s="2">
        <v>4.41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SUM(OSRRefD21_10_0x)+IFERROR(SUM(OSRRefE21_10_0x),0)</f>
        <v>160.16</v>
      </c>
    </row>
    <row r="62" spans="1:17" s="35" customFormat="1" collapsed="1" x14ac:dyDescent="0.3">
      <c r="A62" s="34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SUM(OSRRefD21_11x_0)</f>
        <v>119.55</v>
      </c>
      <c r="E62" s="1">
        <f>SUM(OSRRefD21_11x_1)</f>
        <v>235.45</v>
      </c>
      <c r="F62" s="1">
        <f>SUM(OSRRefD21_11x_2)</f>
        <v>221.95</v>
      </c>
      <c r="G62" s="1">
        <f>SUM(OSRRefD21_11x_3)</f>
        <v>363.36</v>
      </c>
      <c r="H62" s="1">
        <f>SUM(OSRRefD21_11x_4)</f>
        <v>187.3</v>
      </c>
      <c r="I62" s="1">
        <f>SUM(OSRRefD21_11x_5)</f>
        <v>36.299999999999997</v>
      </c>
      <c r="J62" s="1">
        <f>SUM(OSRRefE21_11x_0)</f>
        <v>0</v>
      </c>
      <c r="K62" s="1">
        <f>SUM(OSRRefE21_11x_1)</f>
        <v>0</v>
      </c>
      <c r="L62" s="1">
        <f>SUM(OSRRefE21_11x_2)</f>
        <v>0</v>
      </c>
      <c r="M62" s="1">
        <f>SUM(OSRRefE21_11x_3)</f>
        <v>0</v>
      </c>
      <c r="N62" s="1">
        <f>SUM(OSRRefE21_11x_4)</f>
        <v>0</v>
      </c>
      <c r="O62" s="1">
        <f>SUM(OSRRefE21_11x_5)</f>
        <v>0</v>
      </c>
      <c r="Q62" s="2">
        <f>SUM(OSRRefD20_11x)+IFERROR(SUM(OSRRefE20_11x),0)</f>
        <v>1163.9100000000001</v>
      </c>
    </row>
    <row r="63" spans="1:17" s="35" customFormat="1" hidden="1" outlineLevel="1" x14ac:dyDescent="0.3">
      <c r="A63" s="34"/>
      <c r="B63" s="10" t="str">
        <f>CONCATENATE("          ","6309", " - ","TELEPHONE")</f>
        <v xml:space="preserve">          6309 - TELEPHONE</v>
      </c>
      <c r="C63" s="14"/>
      <c r="D63" s="2">
        <v>119.55</v>
      </c>
      <c r="E63" s="2">
        <v>235.45</v>
      </c>
      <c r="F63" s="2">
        <v>221.95</v>
      </c>
      <c r="G63" s="2">
        <v>363.36</v>
      </c>
      <c r="H63" s="2">
        <v>187.3</v>
      </c>
      <c r="I63" s="2">
        <v>36.299999999999997</v>
      </c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1163.9100000000001</v>
      </c>
    </row>
    <row r="64" spans="1:17" s="35" customFormat="1" collapsed="1" x14ac:dyDescent="0.3">
      <c r="A64" s="34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SUM(OSRRefD21_12x_3)</f>
        <v>0</v>
      </c>
      <c r="H64" s="1">
        <f>SUM(OSRRefD21_12x_4)</f>
        <v>0</v>
      </c>
      <c r="I64" s="1">
        <f>SUM(OSRRefD21_12x_5)</f>
        <v>0</v>
      </c>
      <c r="J64" s="1">
        <f>SUM(OSRRefE21_12x_0)</f>
        <v>600</v>
      </c>
      <c r="K64" s="1">
        <f>SUM(OSRRefE21_12x_1)</f>
        <v>0</v>
      </c>
      <c r="L64" s="1">
        <f>SUM(OSRRefE21_12x_2)</f>
        <v>3000</v>
      </c>
      <c r="M64" s="1">
        <f>SUM(OSRRefE21_12x_3)</f>
        <v>0</v>
      </c>
      <c r="N64" s="1">
        <f>SUM(OSRRefE21_12x_4)</f>
        <v>0</v>
      </c>
      <c r="O64" s="1">
        <f>SUM(OSRRefE21_12x_5)</f>
        <v>0</v>
      </c>
      <c r="Q64" s="2">
        <f>SUM(OSRRefD20_12x)+IFERROR(SUM(OSRRefE20_12x),0)</f>
        <v>3600</v>
      </c>
    </row>
    <row r="65" spans="1:17" s="35" customFormat="1" hidden="1" outlineLevel="1" x14ac:dyDescent="0.3">
      <c r="A65" s="34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600</v>
      </c>
      <c r="K65" s="2"/>
      <c r="L65" s="2">
        <v>3000</v>
      </c>
      <c r="M65" s="2"/>
      <c r="N65" s="2"/>
      <c r="O65" s="2"/>
      <c r="P65" s="9"/>
      <c r="Q65" s="2">
        <f>SUM(OSRRefD21_12_0x)+IFERROR(SUM(OSRRefE21_12_0x),0)</f>
        <v>3600</v>
      </c>
    </row>
    <row r="66" spans="1:17" s="35" customFormat="1" collapsed="1" x14ac:dyDescent="0.3">
      <c r="A66" s="34"/>
      <c r="B66" s="14" t="str">
        <f>CONCATENATE("     ","Travel                                            ")</f>
        <v xml:space="preserve">     Travel                                            </v>
      </c>
      <c r="C66" s="14"/>
      <c r="D66" s="1">
        <f>SUM(OSRRefD21_13x_0)</f>
        <v>0</v>
      </c>
      <c r="E66" s="1">
        <f>SUM(OSRRefD21_13x_1)</f>
        <v>0</v>
      </c>
      <c r="F66" s="1">
        <f>SUM(OSRRefD21_13x_2)</f>
        <v>0</v>
      </c>
      <c r="G66" s="1">
        <f>SUM(OSRRefD21_13x_3)</f>
        <v>0</v>
      </c>
      <c r="H66" s="1">
        <f>SUM(OSRRefD21_13x_4)</f>
        <v>18.59</v>
      </c>
      <c r="I66" s="1">
        <f>SUM(OSRRefD21_13x_5)</f>
        <v>0</v>
      </c>
      <c r="J66" s="1">
        <f>SUM(OSRRefE21_13x_0)</f>
        <v>0</v>
      </c>
      <c r="K66" s="1">
        <f>SUM(OSRRefE21_13x_1)</f>
        <v>0</v>
      </c>
      <c r="L66" s="1">
        <f>SUM(OSRRefE21_13x_2)</f>
        <v>0</v>
      </c>
      <c r="M66" s="1">
        <f>SUM(OSRRefE21_13x_3)</f>
        <v>0</v>
      </c>
      <c r="N66" s="1">
        <f>SUM(OSRRefE21_13x_4)</f>
        <v>0</v>
      </c>
      <c r="O66" s="1">
        <f>SUM(OSRRefE21_13x_5)</f>
        <v>0</v>
      </c>
      <c r="Q66" s="2">
        <f>SUM(OSRRefD20_13x)+IFERROR(SUM(OSRRefE20_13x),0)</f>
        <v>18.59</v>
      </c>
    </row>
    <row r="67" spans="1:17" s="35" customFormat="1" hidden="1" outlineLevel="1" x14ac:dyDescent="0.3">
      <c r="A67" s="34"/>
      <c r="B67" s="10" t="str">
        <f>CONCATENATE("          ","6292", " - ","TRAVEL/CONFERENCE")</f>
        <v xml:space="preserve">          6292 - TRAVEL/CONFERENCE</v>
      </c>
      <c r="C67" s="14"/>
      <c r="D67" s="2"/>
      <c r="E67" s="2"/>
      <c r="F67" s="2"/>
      <c r="G67" s="2"/>
      <c r="H67" s="2">
        <v>18.59</v>
      </c>
      <c r="I67" s="2"/>
      <c r="J67" s="2"/>
      <c r="K67" s="2"/>
      <c r="L67" s="2"/>
      <c r="M67" s="2"/>
      <c r="N67" s="2"/>
      <c r="O67" s="2"/>
      <c r="P67" s="9"/>
      <c r="Q67" s="2">
        <f>SUM(OSRRefD21_13_0x)+IFERROR(SUM(OSRRefE21_13_0x),0)</f>
        <v>18.59</v>
      </c>
    </row>
    <row r="68" spans="1:17" s="35" customFormat="1" collapsed="1" x14ac:dyDescent="0.3">
      <c r="A68" s="34"/>
      <c r="B68" s="14" t="str">
        <f>CONCATENATE("     ","Utilities                                         ")</f>
        <v xml:space="preserve">     Utilities                                         </v>
      </c>
      <c r="C68" s="14"/>
      <c r="D68" s="1">
        <f>SUM(OSRRefD21_14x_0)</f>
        <v>5550</v>
      </c>
      <c r="E68" s="1">
        <f>SUM(OSRRefD21_14x_1)</f>
        <v>5550</v>
      </c>
      <c r="F68" s="1">
        <f>SUM(OSRRefD21_14x_2)</f>
        <v>5550</v>
      </c>
      <c r="G68" s="1">
        <f>SUM(OSRRefD21_14x_3)</f>
        <v>5550</v>
      </c>
      <c r="H68" s="1">
        <f>SUM(OSRRefD21_14x_4)</f>
        <v>5550</v>
      </c>
      <c r="I68" s="1">
        <f>SUM(OSRRefD21_14x_5)</f>
        <v>5550</v>
      </c>
      <c r="J68" s="1">
        <f>SUM(OSRRefE21_14x_0)</f>
        <v>5550</v>
      </c>
      <c r="K68" s="1">
        <f>SUM(OSRRefE21_14x_1)</f>
        <v>5550</v>
      </c>
      <c r="L68" s="1">
        <f>SUM(OSRRefE21_14x_2)</f>
        <v>5550</v>
      </c>
      <c r="M68" s="1">
        <f>SUM(OSRRefE21_14x_3)</f>
        <v>5550</v>
      </c>
      <c r="N68" s="1">
        <f>SUM(OSRRefE21_14x_4)</f>
        <v>5550</v>
      </c>
      <c r="O68" s="1">
        <f>SUM(OSRRefE21_14x_5)</f>
        <v>5550</v>
      </c>
      <c r="Q68" s="2">
        <f>SUM(OSRRefD20_14x)+IFERROR(SUM(OSRRefE20_14x),0)</f>
        <v>66600</v>
      </c>
    </row>
    <row r="69" spans="1:17" s="35" customFormat="1" hidden="1" outlineLevel="1" x14ac:dyDescent="0.3">
      <c r="A69" s="34"/>
      <c r="B69" s="10" t="str">
        <f>CONCATENATE("          ","6274", " - ","UTILITIES")</f>
        <v xml:space="preserve">          6274 - UTILITIES</v>
      </c>
      <c r="C69" s="14"/>
      <c r="D69" s="2">
        <v>5550</v>
      </c>
      <c r="E69" s="2">
        <v>5550</v>
      </c>
      <c r="F69" s="2">
        <v>5550</v>
      </c>
      <c r="G69" s="2">
        <v>5550</v>
      </c>
      <c r="H69" s="2">
        <v>5550</v>
      </c>
      <c r="I69" s="2">
        <v>5550</v>
      </c>
      <c r="J69" s="2">
        <v>5550</v>
      </c>
      <c r="K69" s="2">
        <v>5550</v>
      </c>
      <c r="L69" s="2">
        <v>5550</v>
      </c>
      <c r="M69" s="2">
        <v>5550</v>
      </c>
      <c r="N69" s="2">
        <v>5550</v>
      </c>
      <c r="O69" s="2">
        <v>5550</v>
      </c>
      <c r="P69" s="9"/>
      <c r="Q69" s="2">
        <f>SUM(OSRRefD21_14_0x)+IFERROR(SUM(OSRRefE21_14_0x),0)</f>
        <v>66600</v>
      </c>
    </row>
    <row r="70" spans="1:17" s="29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3"/>
      <c r="B71" s="16" t="s">
        <v>293</v>
      </c>
      <c r="C71" s="22"/>
      <c r="D71" s="3">
        <f>--1414.97</f>
        <v>1414.97</v>
      </c>
      <c r="E71" s="3">
        <f>--1041.32</f>
        <v>1041.32</v>
      </c>
      <c r="F71" s="3">
        <f>--555.08</f>
        <v>555.08000000000004</v>
      </c>
      <c r="G71" s="3">
        <f>--534.58</f>
        <v>534.58000000000004</v>
      </c>
      <c r="H71" s="3">
        <f>0</f>
        <v>0</v>
      </c>
      <c r="I71" s="3">
        <f>--10743.95</f>
        <v>10743.95</v>
      </c>
      <c r="J71" s="3"/>
      <c r="K71" s="3"/>
      <c r="L71" s="3"/>
      <c r="M71" s="3"/>
      <c r="N71" s="3"/>
      <c r="O71" s="3"/>
      <c r="Q71" s="2">
        <f>SUM(OSRRefD23_0x)+IFERROR(SUM(OSRRefE23_0x),0)</f>
        <v>14289.900000000001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7">
        <f t="shared" ref="D73:O73" si="4">IFERROR(+D14-D17+D71, 0)</f>
        <v>-47136.97</v>
      </c>
      <c r="E73" s="7">
        <f t="shared" si="4"/>
        <v>-56464.99</v>
      </c>
      <c r="F73" s="7">
        <f t="shared" si="4"/>
        <v>-43141.94999999999</v>
      </c>
      <c r="G73" s="7">
        <f t="shared" si="4"/>
        <v>-55904.249999999993</v>
      </c>
      <c r="H73" s="7">
        <f t="shared" si="4"/>
        <v>-43690.44999999999</v>
      </c>
      <c r="I73" s="7">
        <f t="shared" si="4"/>
        <v>-34557.17</v>
      </c>
      <c r="J73" s="7">
        <f t="shared" si="4"/>
        <v>-55882.665538461544</v>
      </c>
      <c r="K73" s="7">
        <f t="shared" si="4"/>
        <v>-41947.132430769241</v>
      </c>
      <c r="L73" s="7">
        <f t="shared" si="4"/>
        <v>-44372.132430769241</v>
      </c>
      <c r="M73" s="7">
        <f t="shared" si="4"/>
        <v>-47582.665538461544</v>
      </c>
      <c r="N73" s="7">
        <f t="shared" si="4"/>
        <v>-41372.132430769241</v>
      </c>
      <c r="O73" s="7">
        <f t="shared" si="4"/>
        <v>-41372.132430769241</v>
      </c>
      <c r="Q73" s="7">
        <f>IFERROR(+Q14-Q17+Q71, 0)</f>
        <v>-553424.64080000005</v>
      </c>
    </row>
    <row r="74" spans="1:17" s="6" customFormat="1" x14ac:dyDescent="0.3">
      <c r="B74" s="16"/>
      <c r="C74" s="16"/>
      <c r="D74" s="4">
        <f t="shared" ref="D74:O74" si="5">IFERROR(D73/D10, 0)</f>
        <v>0</v>
      </c>
      <c r="E74" s="4">
        <f t="shared" si="5"/>
        <v>0</v>
      </c>
      <c r="F74" s="4">
        <f t="shared" si="5"/>
        <v>0</v>
      </c>
      <c r="G74" s="4">
        <f t="shared" si="5"/>
        <v>0</v>
      </c>
      <c r="H74" s="4">
        <f t="shared" si="5"/>
        <v>0</v>
      </c>
      <c r="I74" s="4">
        <f t="shared" si="5"/>
        <v>0</v>
      </c>
      <c r="J74" s="4">
        <f t="shared" si="5"/>
        <v>0</v>
      </c>
      <c r="K74" s="4">
        <f t="shared" si="5"/>
        <v>0</v>
      </c>
      <c r="L74" s="4">
        <f t="shared" si="5"/>
        <v>0</v>
      </c>
      <c r="M74" s="4">
        <f t="shared" si="5"/>
        <v>0</v>
      </c>
      <c r="N74" s="4">
        <f t="shared" si="5"/>
        <v>0</v>
      </c>
      <c r="O74" s="4">
        <f t="shared" si="5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8">
        <f t="shared" ref="D78:O78" si="6">IFERROR(+D73-D76, 0)</f>
        <v>-47136.97</v>
      </c>
      <c r="E78" s="8">
        <f t="shared" si="6"/>
        <v>-56464.99</v>
      </c>
      <c r="F78" s="8">
        <f t="shared" si="6"/>
        <v>-43141.94999999999</v>
      </c>
      <c r="G78" s="8">
        <f t="shared" si="6"/>
        <v>-55904.249999999993</v>
      </c>
      <c r="H78" s="8">
        <f t="shared" si="6"/>
        <v>-43690.44999999999</v>
      </c>
      <c r="I78" s="8">
        <f t="shared" si="6"/>
        <v>-34557.17</v>
      </c>
      <c r="J78" s="8">
        <f t="shared" si="6"/>
        <v>-55882.665538461544</v>
      </c>
      <c r="K78" s="8">
        <f t="shared" si="6"/>
        <v>-41947.132430769241</v>
      </c>
      <c r="L78" s="8">
        <f t="shared" si="6"/>
        <v>-44372.132430769241</v>
      </c>
      <c r="M78" s="8">
        <f t="shared" si="6"/>
        <v>-47582.665538461544</v>
      </c>
      <c r="N78" s="8">
        <f t="shared" si="6"/>
        <v>-41372.132430769241</v>
      </c>
      <c r="O78" s="8">
        <f t="shared" si="6"/>
        <v>-41372.132430769241</v>
      </c>
      <c r="Q78" s="8">
        <f>IFERROR(+Q73-Q76, 0)</f>
        <v>-553424.64080000005</v>
      </c>
    </row>
    <row r="79" spans="1:17" ht="15" thickTop="1" x14ac:dyDescent="0.3">
      <c r="A79" s="5"/>
      <c r="B79" s="5"/>
      <c r="C79" s="5"/>
      <c r="D79" s="4">
        <f t="shared" ref="D79:O79" si="7">IFERROR(D78/D10, 0)</f>
        <v>0</v>
      </c>
      <c r="E79" s="4">
        <f t="shared" si="7"/>
        <v>0</v>
      </c>
      <c r="F79" s="4">
        <f t="shared" si="7"/>
        <v>0</v>
      </c>
      <c r="G79" s="4">
        <f t="shared" si="7"/>
        <v>0</v>
      </c>
      <c r="H79" s="4">
        <f t="shared" si="7"/>
        <v>0</v>
      </c>
      <c r="I79" s="4">
        <f t="shared" si="7"/>
        <v>0</v>
      </c>
      <c r="J79" s="4">
        <f t="shared" si="7"/>
        <v>0</v>
      </c>
      <c r="K79" s="4">
        <f t="shared" si="7"/>
        <v>0</v>
      </c>
      <c r="L79" s="4">
        <f t="shared" si="7"/>
        <v>0</v>
      </c>
      <c r="M79" s="4">
        <f t="shared" si="7"/>
        <v>0</v>
      </c>
      <c r="N79" s="4">
        <f t="shared" si="7"/>
        <v>0</v>
      </c>
      <c r="O79" s="4">
        <f t="shared" si="7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8">
        <f t="shared" ref="D82:O82" si="8">IFERROR(SUM(D78:D81), 0)</f>
        <v>-47136.97</v>
      </c>
      <c r="E82" s="8">
        <f t="shared" si="8"/>
        <v>-56464.99</v>
      </c>
      <c r="F82" s="8">
        <f t="shared" si="8"/>
        <v>-43141.94999999999</v>
      </c>
      <c r="G82" s="8">
        <f t="shared" si="8"/>
        <v>-55904.249999999993</v>
      </c>
      <c r="H82" s="8">
        <f t="shared" si="8"/>
        <v>-43690.44999999999</v>
      </c>
      <c r="I82" s="8">
        <f t="shared" si="8"/>
        <v>-34557.17</v>
      </c>
      <c r="J82" s="8">
        <f t="shared" si="8"/>
        <v>-55882.665538461544</v>
      </c>
      <c r="K82" s="8">
        <f t="shared" si="8"/>
        <v>-41947.132430769241</v>
      </c>
      <c r="L82" s="8">
        <f t="shared" si="8"/>
        <v>-44372.132430769241</v>
      </c>
      <c r="M82" s="8">
        <f t="shared" si="8"/>
        <v>-47582.665538461544</v>
      </c>
      <c r="N82" s="8">
        <f t="shared" si="8"/>
        <v>-41372.132430769241</v>
      </c>
      <c r="O82" s="8">
        <f t="shared" si="8"/>
        <v>-41372.132430769241</v>
      </c>
      <c r="Q82" s="8">
        <f>IFERROR(SUM(Q78:Q81), 0)</f>
        <v>-553424.64080000005</v>
      </c>
    </row>
    <row r="83" spans="1:17" ht="15" thickTop="1" x14ac:dyDescent="0.3">
      <c r="A83" s="5"/>
      <c r="C83" s="5"/>
      <c r="D83" s="4">
        <f t="shared" ref="D83:O83" si="9">IFERROR(D82/D10, 0)</f>
        <v>0</v>
      </c>
      <c r="E83" s="4">
        <f t="shared" si="9"/>
        <v>0</v>
      </c>
      <c r="F83" s="4">
        <f t="shared" si="9"/>
        <v>0</v>
      </c>
      <c r="G83" s="4">
        <f t="shared" si="9"/>
        <v>0</v>
      </c>
      <c r="H83" s="4">
        <f t="shared" si="9"/>
        <v>0</v>
      </c>
      <c r="I83" s="4">
        <f t="shared" si="9"/>
        <v>0</v>
      </c>
      <c r="J83" s="4">
        <f t="shared" si="9"/>
        <v>0</v>
      </c>
      <c r="K83" s="4">
        <f t="shared" si="9"/>
        <v>0</v>
      </c>
      <c r="L83" s="4">
        <f t="shared" si="9"/>
        <v>0</v>
      </c>
      <c r="M83" s="4">
        <f t="shared" si="9"/>
        <v>0</v>
      </c>
      <c r="N83" s="4">
        <f t="shared" si="9"/>
        <v>0</v>
      </c>
      <c r="O83" s="4">
        <f t="shared" si="9"/>
        <v>0</v>
      </c>
      <c r="P83" s="18"/>
      <c r="Q83" s="4">
        <f>IFERROR(Q82/Q10, 0)</f>
        <v>0</v>
      </c>
    </row>
    <row r="84" spans="1:17" x14ac:dyDescent="0.3">
      <c r="A84" s="5"/>
      <c r="B84" s="28">
        <v>44575.850692245367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26" t="s">
        <v>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A86" s="5"/>
      <c r="B86" s="3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","412", " - ", "Chartroom")</f>
        <v>Department 412 - Chartroom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613.36</v>
      </c>
      <c r="E17" s="12">
        <f>SUM(OSRRefD20x_1)</f>
        <v>613.36</v>
      </c>
      <c r="F17" s="12">
        <f>SUM(OSRRefD20x_2)</f>
        <v>673.79</v>
      </c>
      <c r="G17" s="12">
        <f>SUM(OSRRefD20x_3)</f>
        <v>604.96</v>
      </c>
      <c r="H17" s="12">
        <f>SUM(OSRRefD20x_4)</f>
        <v>577.36</v>
      </c>
      <c r="I17" s="12">
        <f>SUM(OSRRefD20x_5)</f>
        <v>640.63</v>
      </c>
      <c r="J17" s="12">
        <f>SUM(OSRRefE20x_0)</f>
        <v>577</v>
      </c>
      <c r="K17" s="12">
        <f>SUM(OSRRefE20x_1)</f>
        <v>577</v>
      </c>
      <c r="L17" s="12">
        <f>SUM(OSRRefE20x_2)</f>
        <v>577</v>
      </c>
      <c r="M17" s="12">
        <f>SUM(OSRRefE20x_3)</f>
        <v>577</v>
      </c>
      <c r="N17" s="12">
        <f>SUM(OSRRefE20x_4)</f>
        <v>577</v>
      </c>
      <c r="O17" s="12">
        <f>SUM(OSRRefE20x_5)</f>
        <v>577</v>
      </c>
      <c r="Q17" s="12">
        <f>SUM(OSRRefG20x)</f>
        <v>7185.46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SUM(OSRRefD21_0x_1)</f>
        <v>577.36</v>
      </c>
      <c r="F18" s="1">
        <f>SUM(OSRRefD21_0x_2)</f>
        <v>577.36</v>
      </c>
      <c r="G18" s="1">
        <f>SUM(OSRRefD21_0x_3)</f>
        <v>577.36</v>
      </c>
      <c r="H18" s="1">
        <f>SUM(OSRRefD21_0x_4)</f>
        <v>577.36</v>
      </c>
      <c r="I18" s="1">
        <f>SUM(OSRRefD21_0x_5)</f>
        <v>577.36</v>
      </c>
      <c r="J18" s="1">
        <f>SUM(OSRRefE21_0x_0)</f>
        <v>577</v>
      </c>
      <c r="K18" s="1">
        <f>SUM(OSRRefE21_0x_1)</f>
        <v>577</v>
      </c>
      <c r="L18" s="1">
        <f>SUM(OSRRefE21_0x_2)</f>
        <v>577</v>
      </c>
      <c r="M18" s="1">
        <f>SUM(OSRRefE21_0x_3)</f>
        <v>577</v>
      </c>
      <c r="N18" s="1">
        <f>SUM(OSRRefE21_0x_4)</f>
        <v>577</v>
      </c>
      <c r="O18" s="1">
        <f>SUM(OSRRefE21_0x_5)</f>
        <v>577</v>
      </c>
      <c r="Q18" s="2">
        <f>SUM(OSRRefD20_0x)+IFERROR(SUM(OSRRefE20_0x),0)</f>
        <v>6926.16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577.36</v>
      </c>
      <c r="F19" s="2">
        <v>577.36</v>
      </c>
      <c r="G19" s="2">
        <v>577.36</v>
      </c>
      <c r="H19" s="2">
        <v>577.36</v>
      </c>
      <c r="I19" s="2">
        <v>577.36</v>
      </c>
      <c r="J19" s="2">
        <v>577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6926.16</v>
      </c>
    </row>
    <row r="20" spans="1:17" s="35" customFormat="1" collapsed="1" x14ac:dyDescent="0.3">
      <c r="A20" s="34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60.43</v>
      </c>
      <c r="G20" s="1">
        <f>SUM(OSRRefD21_1x_3)</f>
        <v>0</v>
      </c>
      <c r="H20" s="1">
        <f>SUM(OSRRefD21_1x_4)</f>
        <v>0</v>
      </c>
      <c r="I20" s="1">
        <f>SUM(OSRRefD21_1x_5)</f>
        <v>63.27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123.7</v>
      </c>
    </row>
    <row r="21" spans="1:17" s="35" customFormat="1" hidden="1" outlineLevel="1" x14ac:dyDescent="0.3">
      <c r="A21" s="34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60.43</v>
      </c>
      <c r="G21" s="2"/>
      <c r="H21" s="2"/>
      <c r="I21" s="2">
        <v>63.27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123.7</v>
      </c>
    </row>
    <row r="22" spans="1:17" s="35" customFormat="1" collapsed="1" x14ac:dyDescent="0.3">
      <c r="A22" s="34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36</v>
      </c>
      <c r="E22" s="1">
        <f>SUM(OSRRefD21_2x_1)</f>
        <v>36</v>
      </c>
      <c r="F22" s="1">
        <f>SUM(OSRRefD21_2x_2)</f>
        <v>36</v>
      </c>
      <c r="G22" s="1">
        <f>SUM(OSRRefD21_2x_3)</f>
        <v>27.6</v>
      </c>
      <c r="H22" s="1">
        <f>SUM(OSRRefD21_2x_4)</f>
        <v>0</v>
      </c>
      <c r="I22" s="1">
        <f>SUM(OSRRefD21_2x_5)</f>
        <v>0</v>
      </c>
      <c r="J22" s="1">
        <f>SUM(OSRRefE21_2x_0)</f>
        <v>0</v>
      </c>
      <c r="K22" s="1">
        <f>SUM(OSRRefE21_2x_1)</f>
        <v>0</v>
      </c>
      <c r="L22" s="1">
        <f>SUM(OSRRefE21_2x_2)</f>
        <v>0</v>
      </c>
      <c r="M22" s="1">
        <f>SUM(OSRRefE21_2x_3)</f>
        <v>0</v>
      </c>
      <c r="N22" s="1">
        <f>SUM(OSRRefE21_2x_4)</f>
        <v>0</v>
      </c>
      <c r="O22" s="1">
        <f>SUM(OSRRefE21_2x_5)</f>
        <v>0</v>
      </c>
      <c r="Q22" s="2">
        <f>SUM(OSRRefD20_2x)+IFERROR(SUM(OSRRefE20_2x),0)</f>
        <v>135.6</v>
      </c>
    </row>
    <row r="23" spans="1:17" s="35" customFormat="1" hidden="1" outlineLevel="1" x14ac:dyDescent="0.3">
      <c r="A23" s="34"/>
      <c r="B23" s="10" t="str">
        <f>CONCATENATE("          ","6309", " - ","TELEPHONE")</f>
        <v xml:space="preserve">          6309 - TELEPHONE</v>
      </c>
      <c r="C23" s="14"/>
      <c r="D23" s="2">
        <v>36</v>
      </c>
      <c r="E23" s="2">
        <v>36</v>
      </c>
      <c r="F23" s="2">
        <v>36</v>
      </c>
      <c r="G23" s="2">
        <v>27.6</v>
      </c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135.6</v>
      </c>
    </row>
    <row r="24" spans="1:17" s="29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3"/>
      <c r="B25" s="16" t="s">
        <v>293</v>
      </c>
      <c r="C25" s="22"/>
      <c r="D25" s="3">
        <f t="shared" ref="D25:I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7">
        <f t="shared" ref="D27:O27" si="5">IFERROR(+D14-D17+D25, 0)</f>
        <v>-613.36</v>
      </c>
      <c r="E27" s="7">
        <f t="shared" si="5"/>
        <v>-613.36</v>
      </c>
      <c r="F27" s="7">
        <f t="shared" si="5"/>
        <v>-673.79</v>
      </c>
      <c r="G27" s="7">
        <f t="shared" si="5"/>
        <v>-604.96</v>
      </c>
      <c r="H27" s="7">
        <f t="shared" si="5"/>
        <v>-577.36</v>
      </c>
      <c r="I27" s="7">
        <f t="shared" si="5"/>
        <v>-640.63</v>
      </c>
      <c r="J27" s="7">
        <f t="shared" si="5"/>
        <v>-577</v>
      </c>
      <c r="K27" s="7">
        <f t="shared" si="5"/>
        <v>-577</v>
      </c>
      <c r="L27" s="7">
        <f t="shared" si="5"/>
        <v>-577</v>
      </c>
      <c r="M27" s="7">
        <f t="shared" si="5"/>
        <v>-577</v>
      </c>
      <c r="N27" s="7">
        <f t="shared" si="5"/>
        <v>-577</v>
      </c>
      <c r="O27" s="7">
        <f t="shared" si="5"/>
        <v>-577</v>
      </c>
      <c r="Q27" s="7">
        <f>IFERROR(+Q14-Q17+Q25, 0)</f>
        <v>-7185.46</v>
      </c>
    </row>
    <row r="28" spans="1:17" s="6" customFormat="1" x14ac:dyDescent="0.3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8">
        <f t="shared" ref="D32:O32" si="7">IFERROR(+D27-D30, 0)</f>
        <v>-613.36</v>
      </c>
      <c r="E32" s="8">
        <f t="shared" si="7"/>
        <v>-613.36</v>
      </c>
      <c r="F32" s="8">
        <f t="shared" si="7"/>
        <v>-673.79</v>
      </c>
      <c r="G32" s="8">
        <f t="shared" si="7"/>
        <v>-604.96</v>
      </c>
      <c r="H32" s="8">
        <f t="shared" si="7"/>
        <v>-577.36</v>
      </c>
      <c r="I32" s="8">
        <f t="shared" si="7"/>
        <v>-640.63</v>
      </c>
      <c r="J32" s="8">
        <f t="shared" si="7"/>
        <v>-577</v>
      </c>
      <c r="K32" s="8">
        <f t="shared" si="7"/>
        <v>-577</v>
      </c>
      <c r="L32" s="8">
        <f t="shared" si="7"/>
        <v>-577</v>
      </c>
      <c r="M32" s="8">
        <f t="shared" si="7"/>
        <v>-577</v>
      </c>
      <c r="N32" s="8">
        <f t="shared" si="7"/>
        <v>-577</v>
      </c>
      <c r="O32" s="8">
        <f t="shared" si="7"/>
        <v>-577</v>
      </c>
      <c r="Q32" s="8">
        <f>IFERROR(+Q27-Q30, 0)</f>
        <v>-7185.46</v>
      </c>
    </row>
    <row r="33" spans="1:17" ht="15" thickTop="1" x14ac:dyDescent="0.3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8">
        <f t="shared" ref="D36:O36" si="9">IFERROR(SUM(D32:D35), 0)</f>
        <v>-613.36</v>
      </c>
      <c r="E36" s="8">
        <f t="shared" si="9"/>
        <v>-613.36</v>
      </c>
      <c r="F36" s="8">
        <f t="shared" si="9"/>
        <v>-673.79</v>
      </c>
      <c r="G36" s="8">
        <f t="shared" si="9"/>
        <v>-604.96</v>
      </c>
      <c r="H36" s="8">
        <f t="shared" si="9"/>
        <v>-577.36</v>
      </c>
      <c r="I36" s="8">
        <f t="shared" si="9"/>
        <v>-640.63</v>
      </c>
      <c r="J36" s="8">
        <f t="shared" si="9"/>
        <v>-577</v>
      </c>
      <c r="K36" s="8">
        <f t="shared" si="9"/>
        <v>-577</v>
      </c>
      <c r="L36" s="8">
        <f t="shared" si="9"/>
        <v>-577</v>
      </c>
      <c r="M36" s="8">
        <f t="shared" si="9"/>
        <v>-577</v>
      </c>
      <c r="N36" s="8">
        <f t="shared" si="9"/>
        <v>-577</v>
      </c>
      <c r="O36" s="8">
        <f t="shared" si="9"/>
        <v>-577</v>
      </c>
      <c r="Q36" s="8">
        <f>IFERROR(SUM(Q32:Q35), 0)</f>
        <v>-7185.46</v>
      </c>
    </row>
    <row r="37" spans="1:17" ht="15" thickTop="1" x14ac:dyDescent="0.3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3">
      <c r="A38" s="5"/>
      <c r="B38" s="28">
        <v>44575.850692245367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A39" s="5"/>
      <c r="B39" s="26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3">
      <c r="A40" s="5"/>
      <c r="B40" s="3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3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","413", " - ", "Beach Walk")</f>
        <v>Department 413 - Beach Walk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58.03</v>
      </c>
      <c r="E17" s="12">
        <f>SUM(OSRRefD20x_1)</f>
        <v>58.03</v>
      </c>
      <c r="F17" s="12">
        <f>SUM(OSRRefD20x_2)</f>
        <v>223.12</v>
      </c>
      <c r="G17" s="12">
        <f>SUM(OSRRefD20x_3)</f>
        <v>58.03</v>
      </c>
      <c r="H17" s="12">
        <f>SUM(OSRRefD20x_4)</f>
        <v>58.03</v>
      </c>
      <c r="I17" s="12">
        <f>SUM(OSRRefD20x_5)</f>
        <v>157.88999999999999</v>
      </c>
      <c r="J17" s="12">
        <f>SUM(OSRRefE20x_0)</f>
        <v>58</v>
      </c>
      <c r="K17" s="12">
        <f>SUM(OSRRefE20x_1)</f>
        <v>58</v>
      </c>
      <c r="L17" s="12">
        <f>SUM(OSRRefE20x_2)</f>
        <v>58</v>
      </c>
      <c r="M17" s="12">
        <f>SUM(OSRRefE20x_3)</f>
        <v>58</v>
      </c>
      <c r="N17" s="12">
        <f>SUM(OSRRefE20x_4)</f>
        <v>58</v>
      </c>
      <c r="O17" s="12">
        <f>SUM(OSRRefE20x_5)</f>
        <v>58</v>
      </c>
      <c r="Q17" s="12">
        <f>SUM(OSRRefG20x)</f>
        <v>961.12999999999988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SUM(OSRRefD21_0x_1)</f>
        <v>58.03</v>
      </c>
      <c r="F18" s="1">
        <f>SUM(OSRRefD21_0x_2)</f>
        <v>58.03</v>
      </c>
      <c r="G18" s="1">
        <f>SUM(OSRRefD21_0x_3)</f>
        <v>58.03</v>
      </c>
      <c r="H18" s="1">
        <f>SUM(OSRRefD21_0x_4)</f>
        <v>58.03</v>
      </c>
      <c r="I18" s="1">
        <f>SUM(OSRRefD21_0x_5)</f>
        <v>58.03</v>
      </c>
      <c r="J18" s="1">
        <f>SUM(OSRRefE21_0x_0)</f>
        <v>58</v>
      </c>
      <c r="K18" s="1">
        <f>SUM(OSRRefE21_0x_1)</f>
        <v>58</v>
      </c>
      <c r="L18" s="1">
        <f>SUM(OSRRefE21_0x_2)</f>
        <v>58</v>
      </c>
      <c r="M18" s="1">
        <f>SUM(OSRRefE21_0x_3)</f>
        <v>58</v>
      </c>
      <c r="N18" s="1">
        <f>SUM(OSRRefE21_0x_4)</f>
        <v>58</v>
      </c>
      <c r="O18" s="1">
        <f>SUM(OSRRefE21_0x_5)</f>
        <v>58</v>
      </c>
      <c r="Q18" s="2">
        <f>SUM(OSRRefD20_0x)+IFERROR(SUM(OSRRefE20_0x),0)</f>
        <v>696.18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58.03</v>
      </c>
      <c r="F19" s="2">
        <v>58.03</v>
      </c>
      <c r="G19" s="2">
        <v>58.03</v>
      </c>
      <c r="H19" s="2">
        <v>58.03</v>
      </c>
      <c r="I19" s="2">
        <v>58.03</v>
      </c>
      <c r="J19" s="2">
        <v>58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696.18</v>
      </c>
    </row>
    <row r="20" spans="1:17" s="35" customFormat="1" collapsed="1" x14ac:dyDescent="0.3">
      <c r="A20" s="34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165.09</v>
      </c>
      <c r="G20" s="1">
        <f>SUM(OSRRefD21_1x_3)</f>
        <v>0</v>
      </c>
      <c r="H20" s="1">
        <f>SUM(OSRRefD21_1x_4)</f>
        <v>0</v>
      </c>
      <c r="I20" s="1">
        <f>SUM(OSRRefD21_1x_5)</f>
        <v>99.86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264.95</v>
      </c>
    </row>
    <row r="21" spans="1:17" s="35" customFormat="1" hidden="1" outlineLevel="1" x14ac:dyDescent="0.3">
      <c r="A21" s="34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165.09</v>
      </c>
      <c r="G21" s="2"/>
      <c r="H21" s="2"/>
      <c r="I21" s="2">
        <v>99.86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264.95</v>
      </c>
    </row>
    <row r="22" spans="1:17" s="29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I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7">
        <f t="shared" ref="D25:O25" si="5">IFERROR(+D14-D17+D23, 0)</f>
        <v>-58.03</v>
      </c>
      <c r="E25" s="7">
        <f t="shared" si="5"/>
        <v>-58.03</v>
      </c>
      <c r="F25" s="7">
        <f t="shared" si="5"/>
        <v>-223.12</v>
      </c>
      <c r="G25" s="7">
        <f t="shared" si="5"/>
        <v>-58.03</v>
      </c>
      <c r="H25" s="7">
        <f t="shared" si="5"/>
        <v>-58.03</v>
      </c>
      <c r="I25" s="7">
        <f t="shared" si="5"/>
        <v>-157.88999999999999</v>
      </c>
      <c r="J25" s="7">
        <f t="shared" si="5"/>
        <v>-58</v>
      </c>
      <c r="K25" s="7">
        <f t="shared" si="5"/>
        <v>-58</v>
      </c>
      <c r="L25" s="7">
        <f t="shared" si="5"/>
        <v>-58</v>
      </c>
      <c r="M25" s="7">
        <f t="shared" si="5"/>
        <v>-58</v>
      </c>
      <c r="N25" s="7">
        <f t="shared" si="5"/>
        <v>-58</v>
      </c>
      <c r="O25" s="7">
        <f t="shared" si="5"/>
        <v>-58</v>
      </c>
      <c r="Q25" s="7">
        <f>IFERROR(+Q14-Q17+Q23, 0)</f>
        <v>-961.12999999999988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8">
        <f t="shared" ref="D30:O30" si="7">IFERROR(+D25-D28, 0)</f>
        <v>-58.03</v>
      </c>
      <c r="E30" s="8">
        <f t="shared" si="7"/>
        <v>-58.03</v>
      </c>
      <c r="F30" s="8">
        <f t="shared" si="7"/>
        <v>-223.12</v>
      </c>
      <c r="G30" s="8">
        <f t="shared" si="7"/>
        <v>-58.03</v>
      </c>
      <c r="H30" s="8">
        <f t="shared" si="7"/>
        <v>-58.03</v>
      </c>
      <c r="I30" s="8">
        <f t="shared" si="7"/>
        <v>-157.88999999999999</v>
      </c>
      <c r="J30" s="8">
        <f t="shared" si="7"/>
        <v>-58</v>
      </c>
      <c r="K30" s="8">
        <f t="shared" si="7"/>
        <v>-58</v>
      </c>
      <c r="L30" s="8">
        <f t="shared" si="7"/>
        <v>-58</v>
      </c>
      <c r="M30" s="8">
        <f t="shared" si="7"/>
        <v>-58</v>
      </c>
      <c r="N30" s="8">
        <f t="shared" si="7"/>
        <v>-58</v>
      </c>
      <c r="O30" s="8">
        <f t="shared" si="7"/>
        <v>-58</v>
      </c>
      <c r="Q30" s="8">
        <f>IFERROR(+Q25-Q28, 0)</f>
        <v>-961.12999999999988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8">
        <f t="shared" ref="D34:O34" si="9">IFERROR(SUM(D30:D33), 0)</f>
        <v>-58.03</v>
      </c>
      <c r="E34" s="8">
        <f t="shared" si="9"/>
        <v>-58.03</v>
      </c>
      <c r="F34" s="8">
        <f t="shared" si="9"/>
        <v>-223.12</v>
      </c>
      <c r="G34" s="8">
        <f t="shared" si="9"/>
        <v>-58.03</v>
      </c>
      <c r="H34" s="8">
        <f t="shared" si="9"/>
        <v>-58.03</v>
      </c>
      <c r="I34" s="8">
        <f t="shared" si="9"/>
        <v>-157.88999999999999</v>
      </c>
      <c r="J34" s="8">
        <f t="shared" si="9"/>
        <v>-58</v>
      </c>
      <c r="K34" s="8">
        <f t="shared" si="9"/>
        <v>-58</v>
      </c>
      <c r="L34" s="8">
        <f t="shared" si="9"/>
        <v>-58</v>
      </c>
      <c r="M34" s="8">
        <f t="shared" si="9"/>
        <v>-58</v>
      </c>
      <c r="N34" s="8">
        <f t="shared" si="9"/>
        <v>-58</v>
      </c>
      <c r="O34" s="8">
        <f t="shared" si="9"/>
        <v>-58</v>
      </c>
      <c r="Q34" s="8">
        <f>IFERROR(SUM(Q30:Q33), 0)</f>
        <v>-961.12999999999988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28">
        <v>44575.850692245367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26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A38" s="5"/>
      <c r="B38" s="3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","414", " - ", "Starbucks UDP")</f>
        <v>Department 414 - Starbucks UDP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129.16999999999999</v>
      </c>
      <c r="G17" s="12">
        <f>SUM(OSRRefD20x_3)</f>
        <v>0</v>
      </c>
      <c r="H17" s="12">
        <f>SUM(OSRRefD20x_4)</f>
        <v>118.91</v>
      </c>
      <c r="I17" s="12">
        <f>SUM(OSRRefD20x_5)</f>
        <v>62.41</v>
      </c>
      <c r="J17" s="12">
        <f>SUM(OSRRefE20x_0)</f>
        <v>0</v>
      </c>
      <c r="K17" s="12">
        <f>SUM(OSRRefE20x_1)</f>
        <v>0</v>
      </c>
      <c r="L17" s="12">
        <f>SUM(OSRRefE20x_2)</f>
        <v>0</v>
      </c>
      <c r="M17" s="12">
        <f>SUM(OSRRefE20x_3)</f>
        <v>0</v>
      </c>
      <c r="N17" s="12">
        <f>SUM(OSRRefE20x_4)</f>
        <v>0</v>
      </c>
      <c r="O17" s="12">
        <f>SUM(OSRRefE20x_5)</f>
        <v>0</v>
      </c>
      <c r="Q17" s="12">
        <f>SUM(OSRRefG20x)</f>
        <v>310.49</v>
      </c>
    </row>
    <row r="18" spans="1:17" s="35" customFormat="1" collapsed="1" x14ac:dyDescent="0.3">
      <c r="A18" s="34"/>
      <c r="B18" s="14" t="str">
        <f>CONCATENATE("     ","Equipment Rental                                  ")</f>
        <v xml:space="preserve">     Equipment Rental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118.91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118.91</v>
      </c>
    </row>
    <row r="19" spans="1:17" s="35" customFormat="1" hidden="1" outlineLevel="1" x14ac:dyDescent="0.3">
      <c r="A19" s="34"/>
      <c r="B19" s="10" t="str">
        <f>CONCATENATE("          ","6351", " - ","EQUIPMENT RENTAL")</f>
        <v xml:space="preserve">          6351 - EQUIPMENT RENTAL</v>
      </c>
      <c r="C19" s="14"/>
      <c r="D19" s="2"/>
      <c r="E19" s="2"/>
      <c r="F19" s="2"/>
      <c r="G19" s="2"/>
      <c r="H19" s="2">
        <v>118.91</v>
      </c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118.91</v>
      </c>
    </row>
    <row r="20" spans="1:17" s="35" customFormat="1" collapsed="1" x14ac:dyDescent="0.3">
      <c r="A20" s="34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129.16999999999999</v>
      </c>
      <c r="G20" s="1">
        <f>SUM(OSRRefD21_1x_3)</f>
        <v>0</v>
      </c>
      <c r="H20" s="1">
        <f>SUM(OSRRefD21_1x_4)</f>
        <v>0</v>
      </c>
      <c r="I20" s="1">
        <f>SUM(OSRRefD21_1x_5)</f>
        <v>62.41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191.57999999999998</v>
      </c>
    </row>
    <row r="21" spans="1:17" s="35" customFormat="1" hidden="1" outlineLevel="1" x14ac:dyDescent="0.3">
      <c r="A21" s="34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129.16999999999999</v>
      </c>
      <c r="G21" s="2"/>
      <c r="H21" s="2"/>
      <c r="I21" s="2">
        <v>62.41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191.57999999999998</v>
      </c>
    </row>
    <row r="22" spans="1:17" s="29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I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7">
        <f t="shared" ref="D25:O25" si="5">IFERROR(+D14-D17+D23, 0)</f>
        <v>0</v>
      </c>
      <c r="E25" s="7">
        <f t="shared" si="5"/>
        <v>0</v>
      </c>
      <c r="F25" s="7">
        <f t="shared" si="5"/>
        <v>-129.16999999999999</v>
      </c>
      <c r="G25" s="7">
        <f t="shared" si="5"/>
        <v>0</v>
      </c>
      <c r="H25" s="7">
        <f t="shared" si="5"/>
        <v>-118.91</v>
      </c>
      <c r="I25" s="7">
        <f t="shared" si="5"/>
        <v>-62.41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  <c r="O25" s="7">
        <f t="shared" si="5"/>
        <v>0</v>
      </c>
      <c r="Q25" s="7">
        <f>IFERROR(+Q14-Q17+Q23, 0)</f>
        <v>-310.49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8">
        <f t="shared" ref="D30:O30" si="7">IFERROR(+D25-D28, 0)</f>
        <v>0</v>
      </c>
      <c r="E30" s="8">
        <f t="shared" si="7"/>
        <v>0</v>
      </c>
      <c r="F30" s="8">
        <f t="shared" si="7"/>
        <v>-129.16999999999999</v>
      </c>
      <c r="G30" s="8">
        <f t="shared" si="7"/>
        <v>0</v>
      </c>
      <c r="H30" s="8">
        <f t="shared" si="7"/>
        <v>-118.91</v>
      </c>
      <c r="I30" s="8">
        <f t="shared" si="7"/>
        <v>-62.41</v>
      </c>
      <c r="J30" s="8">
        <f t="shared" si="7"/>
        <v>0</v>
      </c>
      <c r="K30" s="8">
        <f t="shared" si="7"/>
        <v>0</v>
      </c>
      <c r="L30" s="8">
        <f t="shared" si="7"/>
        <v>0</v>
      </c>
      <c r="M30" s="8">
        <f t="shared" si="7"/>
        <v>0</v>
      </c>
      <c r="N30" s="8">
        <f t="shared" si="7"/>
        <v>0</v>
      </c>
      <c r="O30" s="8">
        <f t="shared" si="7"/>
        <v>0</v>
      </c>
      <c r="Q30" s="8">
        <f>IFERROR(+Q25-Q28, 0)</f>
        <v>-310.49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8">
        <f t="shared" ref="D34:O34" si="9">IFERROR(SUM(D30:D33), 0)</f>
        <v>0</v>
      </c>
      <c r="E34" s="8">
        <f t="shared" si="9"/>
        <v>0</v>
      </c>
      <c r="F34" s="8">
        <f t="shared" si="9"/>
        <v>-129.16999999999999</v>
      </c>
      <c r="G34" s="8">
        <f t="shared" si="9"/>
        <v>0</v>
      </c>
      <c r="H34" s="8">
        <f t="shared" si="9"/>
        <v>-118.91</v>
      </c>
      <c r="I34" s="8">
        <f t="shared" si="9"/>
        <v>-62.41</v>
      </c>
      <c r="J34" s="8">
        <f t="shared" si="9"/>
        <v>0</v>
      </c>
      <c r="K34" s="8">
        <f t="shared" si="9"/>
        <v>0</v>
      </c>
      <c r="L34" s="8">
        <f t="shared" si="9"/>
        <v>0</v>
      </c>
      <c r="M34" s="8">
        <f t="shared" si="9"/>
        <v>0</v>
      </c>
      <c r="N34" s="8">
        <f t="shared" si="9"/>
        <v>0</v>
      </c>
      <c r="O34" s="8">
        <f t="shared" si="9"/>
        <v>0</v>
      </c>
      <c r="Q34" s="8">
        <f>IFERROR(SUM(Q30:Q33), 0)</f>
        <v>-310.49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28">
        <v>44575.850692245367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26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A38" s="5"/>
      <c r="B38" s="3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10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","415", " - ", "Outpost")</f>
        <v>Department 415 - Outpost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36916.019999999997</v>
      </c>
      <c r="F10" s="3">
        <f>SUM(OSRRefD11x_2)</f>
        <v>64314.19</v>
      </c>
      <c r="G10" s="3">
        <f>SUM(OSRRefD11x_3)</f>
        <v>88464.95</v>
      </c>
      <c r="H10" s="3">
        <f>SUM(OSRRefD11x_4)</f>
        <v>54563.040000000001</v>
      </c>
      <c r="I10" s="3">
        <f>SUM(OSRRefD11x_5)</f>
        <v>50708.15</v>
      </c>
      <c r="J10" s="3">
        <f>SUM(OSRRefE11x_0)</f>
        <v>45304</v>
      </c>
      <c r="K10" s="3">
        <f>SUM(OSRRefE11x_1)</f>
        <v>138641</v>
      </c>
      <c r="L10" s="3">
        <f>SUM(OSRRefE11x_2)</f>
        <v>126154</v>
      </c>
      <c r="M10" s="3">
        <f>SUM(OSRRefE11x_3)</f>
        <v>121790</v>
      </c>
      <c r="N10" s="3">
        <f>SUM(OSRRefE11x_4)</f>
        <v>74055</v>
      </c>
      <c r="O10" s="3">
        <f>SUM(OSRRefE11x_5)</f>
        <v>26526</v>
      </c>
      <c r="P10" s="24"/>
      <c r="Q10" s="3">
        <f>SUM(OSRRefG11x)</f>
        <v>847138.66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14091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165612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--18369.85</f>
        <v>18369.849999999999</v>
      </c>
      <c r="F12" s="2">
        <f>--24705.18</f>
        <v>24705.18</v>
      </c>
      <c r="G12" s="2">
        <f>--32696.1</f>
        <v>32696.1</v>
      </c>
      <c r="H12" s="2">
        <f>--20449.96</f>
        <v>20449.96</v>
      </c>
      <c r="I12" s="2">
        <f>--16704.78</f>
        <v>16704.78</v>
      </c>
      <c r="J12" s="2"/>
      <c r="K12" s="2"/>
      <c r="L12" s="2"/>
      <c r="M12" s="2"/>
      <c r="N12" s="2"/>
      <c r="O12" s="2"/>
      <c r="Q12" s="2">
        <f>SUM(OSRRefD11_1x)+IFERROR(SUM(OSRRefE11_1x),0)</f>
        <v>123556.79999999999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ref="D13:I13" si="1"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v>31213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366858</v>
      </c>
    </row>
    <row r="14" spans="1:18" s="9" customFormat="1" hidden="1" outlineLevel="1" x14ac:dyDescent="0.3">
      <c r="A14" s="23"/>
      <c r="B14" s="10" t="str">
        <f>CONCATENATE("          ","4151", " - ","NON-TAXABLE SALES-FOOD")</f>
        <v xml:space="preserve">          4151 - NON-TAXABLE SALES-FOOD</v>
      </c>
      <c r="C14" s="22"/>
      <c r="D14" s="2">
        <f>--9071.38</f>
        <v>9071.3799999999992</v>
      </c>
      <c r="E14" s="2">
        <f>--18546.17</f>
        <v>18546.169999999998</v>
      </c>
      <c r="F14" s="2">
        <f>--39609.01</f>
        <v>39609.01</v>
      </c>
      <c r="G14" s="2">
        <f>--55768.85</f>
        <v>55768.85</v>
      </c>
      <c r="H14" s="2">
        <f>--34113.08</f>
        <v>34113.08</v>
      </c>
      <c r="I14" s="2">
        <f>--34003.37</f>
        <v>34003.370000000003</v>
      </c>
      <c r="J14" s="2"/>
      <c r="K14" s="2"/>
      <c r="L14" s="2"/>
      <c r="M14" s="2"/>
      <c r="N14" s="2"/>
      <c r="O14" s="2"/>
      <c r="Q14" s="2">
        <f>SUM(OSRRefD11_3x)+IFERROR(SUM(OSRRefE11_3x),0)</f>
        <v>191111.86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6094.1100000000006</v>
      </c>
      <c r="E16" s="3">
        <f>SUM(OSRRefD14x_1)</f>
        <v>9009.66</v>
      </c>
      <c r="F16" s="3">
        <f>SUM(OSRRefD14x_2)</f>
        <v>26130.34</v>
      </c>
      <c r="G16" s="3">
        <f>SUM(OSRRefD14x_3)</f>
        <v>30709.83</v>
      </c>
      <c r="H16" s="3">
        <f>SUM(OSRRefD14x_4)</f>
        <v>21749.71</v>
      </c>
      <c r="I16" s="3">
        <f>SUM(OSRRefD14x_5)</f>
        <v>19341.5</v>
      </c>
      <c r="J16" s="3">
        <f>SUM(OSRRefE14x_0)</f>
        <v>14044</v>
      </c>
      <c r="K16" s="3">
        <f>SUM(OSRRefE14x_1)</f>
        <v>42979</v>
      </c>
      <c r="L16" s="3">
        <f>SUM(OSRRefE14x_2)</f>
        <v>40369</v>
      </c>
      <c r="M16" s="3">
        <f>SUM(OSRRefE14x_3)</f>
        <v>40191</v>
      </c>
      <c r="N16" s="3">
        <f>SUM(OSRRefE14x_4)</f>
        <v>24438</v>
      </c>
      <c r="O16" s="3">
        <f>SUM(OSRRefE14x_5)</f>
        <v>7162</v>
      </c>
      <c r="Q16" s="3">
        <f>SUM(OSRRefG14x)</f>
        <v>282218.15000000002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14044</v>
      </c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169183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9259.11</v>
      </c>
      <c r="E18" s="2">
        <v>18296.66</v>
      </c>
      <c r="F18" s="2">
        <v>21939.34</v>
      </c>
      <c r="G18" s="2">
        <v>30709.83</v>
      </c>
      <c r="H18" s="2">
        <v>20379.34</v>
      </c>
      <c r="I18" s="2">
        <v>13948.38</v>
      </c>
      <c r="J18" s="2"/>
      <c r="K18" s="2"/>
      <c r="L18" s="2"/>
      <c r="M18" s="2"/>
      <c r="N18" s="2"/>
      <c r="O18" s="2"/>
      <c r="Q18" s="2">
        <f>SUM(OSRRefD14_1x)+IFERROR(SUM(OSRRefE14_1x),0)</f>
        <v>114532.66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-3165</v>
      </c>
      <c r="E19" s="2">
        <v>-9287</v>
      </c>
      <c r="F19" s="2">
        <v>4191</v>
      </c>
      <c r="G19" s="2"/>
      <c r="H19" s="2">
        <v>1370.37</v>
      </c>
      <c r="I19" s="2">
        <v>5393.12</v>
      </c>
      <c r="J19" s="2"/>
      <c r="K19" s="2"/>
      <c r="L19" s="2"/>
      <c r="M19" s="2"/>
      <c r="N19" s="2"/>
      <c r="O19" s="2"/>
      <c r="Q19" s="2">
        <f>SUM(OSRRefD14_2x)+IFERROR(SUM(OSRRefE14_2x),0)</f>
        <v>-1497.5100000000002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2">IFERROR(+D10-D16, 0)</f>
        <v>13608.199999999997</v>
      </c>
      <c r="E21" s="7">
        <f t="shared" si="2"/>
        <v>27906.359999999997</v>
      </c>
      <c r="F21" s="7">
        <f t="shared" si="2"/>
        <v>38183.850000000006</v>
      </c>
      <c r="G21" s="7">
        <f t="shared" si="2"/>
        <v>57755.119999999995</v>
      </c>
      <c r="H21" s="7">
        <f t="shared" si="2"/>
        <v>32813.33</v>
      </c>
      <c r="I21" s="7">
        <f t="shared" si="2"/>
        <v>31366.65</v>
      </c>
      <c r="J21" s="7">
        <f t="shared" si="2"/>
        <v>31260</v>
      </c>
      <c r="K21" s="7">
        <f t="shared" si="2"/>
        <v>95662</v>
      </c>
      <c r="L21" s="7">
        <f t="shared" si="2"/>
        <v>85785</v>
      </c>
      <c r="M21" s="7">
        <f t="shared" si="2"/>
        <v>81599</v>
      </c>
      <c r="N21" s="7">
        <f t="shared" si="2"/>
        <v>49617</v>
      </c>
      <c r="O21" s="7">
        <f t="shared" si="2"/>
        <v>19364</v>
      </c>
      <c r="Q21" s="7">
        <f>IFERROR(+Q10-Q16, 0)</f>
        <v>564920.51</v>
      </c>
    </row>
    <row r="22" spans="1:17" s="6" customFormat="1" x14ac:dyDescent="0.3">
      <c r="B22" s="16"/>
      <c r="C22" s="16"/>
      <c r="D22" s="4">
        <f t="shared" ref="D22:O22" si="3">IFERROR(D21/D10, 0)</f>
        <v>0.69069058399751093</v>
      </c>
      <c r="E22" s="4">
        <f t="shared" si="3"/>
        <v>0.75594172936302451</v>
      </c>
      <c r="F22" s="4">
        <f t="shared" si="3"/>
        <v>0.59370801373693749</v>
      </c>
      <c r="G22" s="4">
        <f t="shared" si="3"/>
        <v>0.65285878757632254</v>
      </c>
      <c r="H22" s="4">
        <f t="shared" si="3"/>
        <v>0.60138383051970712</v>
      </c>
      <c r="I22" s="4">
        <f t="shared" si="3"/>
        <v>0.61857216246303603</v>
      </c>
      <c r="J22" s="4">
        <f t="shared" si="3"/>
        <v>0.69000529754547058</v>
      </c>
      <c r="K22" s="4">
        <f t="shared" si="3"/>
        <v>0.6899979082666744</v>
      </c>
      <c r="L22" s="4">
        <f t="shared" si="3"/>
        <v>0.68000221950948836</v>
      </c>
      <c r="M22" s="4">
        <f t="shared" si="3"/>
        <v>0.66999753674357498</v>
      </c>
      <c r="N22" s="4">
        <f t="shared" si="3"/>
        <v>0.67000202552157184</v>
      </c>
      <c r="O22" s="4">
        <f t="shared" si="3"/>
        <v>0.73000075397722985</v>
      </c>
      <c r="P22" s="18"/>
      <c r="Q22" s="4">
        <f>IFERROR(Q21/Q10, 0)</f>
        <v>0.66685719431102342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60021.139999999992</v>
      </c>
      <c r="E24" s="12">
        <f>SUM(OSRRefD20x_1)</f>
        <v>79206.289999999994</v>
      </c>
      <c r="F24" s="12">
        <f>SUM(OSRRefD20x_2)</f>
        <v>76556.819999999992</v>
      </c>
      <c r="G24" s="12">
        <f>SUM(OSRRefD20x_3)</f>
        <v>89762.05</v>
      </c>
      <c r="H24" s="12">
        <f>SUM(OSRRefD20x_4)</f>
        <v>72254.13</v>
      </c>
      <c r="I24" s="12">
        <f>SUM(OSRRefD20x_5)</f>
        <v>77305.16</v>
      </c>
      <c r="J24" s="12">
        <f>SUM(OSRRefE20x_0)</f>
        <v>57697.079368147155</v>
      </c>
      <c r="K24" s="12">
        <f>SUM(OSRRefE20x_1)</f>
        <v>65015.449323703084</v>
      </c>
      <c r="L24" s="12">
        <f>SUM(OSRRefE20x_2)</f>
        <v>60917.946988122152</v>
      </c>
      <c r="M24" s="12">
        <f>SUM(OSRRefE20x_3)</f>
        <v>72260.447639948688</v>
      </c>
      <c r="N24" s="12">
        <f>SUM(OSRRefE20x_4)</f>
        <v>60264.390849212621</v>
      </c>
      <c r="O24" s="12">
        <f>SUM(OSRRefE20x_5)</f>
        <v>48265.147065272919</v>
      </c>
      <c r="Q24" s="12">
        <f>SUM(OSRRefG20x)</f>
        <v>819526.05123440677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SUM(OSRRefD21_0x_1)</f>
        <v>10432.23</v>
      </c>
      <c r="F25" s="1">
        <f>SUM(OSRRefD21_0x_2)</f>
        <v>11611.039999999999</v>
      </c>
      <c r="G25" s="1">
        <f>SUM(OSRRefD21_0x_3)</f>
        <v>16720.509999999998</v>
      </c>
      <c r="H25" s="1">
        <f>SUM(OSRRefD21_0x_4)</f>
        <v>13538.03</v>
      </c>
      <c r="I25" s="1">
        <f>SUM(OSRRefD21_0x_5)</f>
        <v>14366.4</v>
      </c>
      <c r="J25" s="1">
        <f>SUM(OSRRefE21_0x_0)</f>
        <v>6247.3997531471505</v>
      </c>
      <c r="K25" s="1">
        <f>SUM(OSRRefE21_0x_1)</f>
        <v>6862.9796237030787</v>
      </c>
      <c r="L25" s="1">
        <f>SUM(OSRRefE21_0x_2)</f>
        <v>5969.67024812215</v>
      </c>
      <c r="M25" s="1">
        <f>SUM(OSRRefE21_0x_3)</f>
        <v>7987.0964249486906</v>
      </c>
      <c r="N25" s="1">
        <f>SUM(OSRRefE21_0x_4)</f>
        <v>6469.8901292126211</v>
      </c>
      <c r="O25" s="1">
        <f>SUM(OSRRefE21_0x_5)</f>
        <v>5943.7745252729201</v>
      </c>
      <c r="Q25" s="2">
        <f>SUM(OSRRefD20_0x)+IFERROR(SUM(OSRRefE20_0x),0)</f>
        <v>116246.85070440661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1344.16</v>
      </c>
      <c r="F26" s="2">
        <v>1671.6</v>
      </c>
      <c r="G26" s="2">
        <v>2687.05</v>
      </c>
      <c r="H26" s="2">
        <v>1676.45</v>
      </c>
      <c r="I26" s="2">
        <v>2058.66</v>
      </c>
      <c r="J26" s="2">
        <v>889.35832130100005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16028.402068022002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632.17999999999995</v>
      </c>
      <c r="F27" s="2">
        <v>1046.57</v>
      </c>
      <c r="G27" s="2">
        <v>1584.55</v>
      </c>
      <c r="H27" s="2">
        <v>987.61</v>
      </c>
      <c r="I27" s="2">
        <v>1119.93</v>
      </c>
      <c r="J27" s="2">
        <v>692.85962892999999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10227.348347210002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5217.82</v>
      </c>
      <c r="F28" s="2">
        <v>5277.63</v>
      </c>
      <c r="G28" s="2">
        <v>7197.43</v>
      </c>
      <c r="H28" s="2">
        <v>7197.43</v>
      </c>
      <c r="I28" s="2">
        <v>7197.43</v>
      </c>
      <c r="J28" s="2">
        <v>3254.4461538461501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59022.144615384605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45.66</v>
      </c>
      <c r="F29" s="2">
        <v>75.59</v>
      </c>
      <c r="G29" s="2">
        <v>114.44</v>
      </c>
      <c r="H29" s="2">
        <v>71.33</v>
      </c>
      <c r="I29" s="2">
        <v>80.88</v>
      </c>
      <c r="J29" s="2">
        <v>38.390639069999999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665.86924879000003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870.61</v>
      </c>
      <c r="F30" s="2">
        <v>870.61</v>
      </c>
      <c r="G30" s="2">
        <v>1305.92</v>
      </c>
      <c r="H30" s="2">
        <v>905.43</v>
      </c>
      <c r="I30" s="2">
        <v>905.43</v>
      </c>
      <c r="J30" s="2">
        <v>546.87077499999998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8572.3380300000008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958.14</v>
      </c>
      <c r="F32" s="2">
        <v>1050.3399999999999</v>
      </c>
      <c r="G32" s="2">
        <v>1713.81</v>
      </c>
      <c r="H32" s="2">
        <v>1188.24</v>
      </c>
      <c r="I32" s="2">
        <v>1265.98</v>
      </c>
      <c r="J32" s="2">
        <v>260.74625099999997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8659.3936219999996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879.66</v>
      </c>
      <c r="F33" s="2">
        <v>953.56</v>
      </c>
      <c r="G33" s="2">
        <v>1115.55</v>
      </c>
      <c r="H33" s="2">
        <v>773.44</v>
      </c>
      <c r="I33" s="2">
        <v>850.19</v>
      </c>
      <c r="J33" s="2">
        <v>269.72798399999999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7101.1647730000004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484</v>
      </c>
      <c r="F34" s="2">
        <v>665.14</v>
      </c>
      <c r="G34" s="2">
        <v>1001.76</v>
      </c>
      <c r="H34" s="2">
        <v>738.1</v>
      </c>
      <c r="I34" s="2">
        <v>887.9</v>
      </c>
      <c r="J34" s="2">
        <v>295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5970.19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SUM(OSRRefD21_1x_1)</f>
        <v>20004.48</v>
      </c>
      <c r="F35" s="1">
        <f>SUM(OSRRefD21_1x_2)</f>
        <v>29287.149999999998</v>
      </c>
      <c r="G35" s="1">
        <f>SUM(OSRRefD21_1x_3)</f>
        <v>34206.479999999996</v>
      </c>
      <c r="H35" s="1">
        <f>SUM(OSRRefD21_1x_4)</f>
        <v>25176.67</v>
      </c>
      <c r="I35" s="1">
        <f>SUM(OSRRefD21_1x_5)</f>
        <v>28212.579999999994</v>
      </c>
      <c r="J35" s="1">
        <f>SUM(OSRRefE21_1x_0)</f>
        <v>17846.679615000001</v>
      </c>
      <c r="K35" s="1">
        <f>SUM(OSRRefE21_1x_1)</f>
        <v>19920.469700000001</v>
      </c>
      <c r="L35" s="1">
        <f>SUM(OSRRefE21_1x_2)</f>
        <v>17553.276740000001</v>
      </c>
      <c r="M35" s="1">
        <f>SUM(OSRRefE21_1x_3)</f>
        <v>26447.351215000002</v>
      </c>
      <c r="N35" s="1">
        <f>SUM(OSRRefE21_1x_4)</f>
        <v>19532.50072</v>
      </c>
      <c r="O35" s="1">
        <f>SUM(OSRRefE21_1x_5)</f>
        <v>10365.37254</v>
      </c>
      <c r="Q35" s="2">
        <f>SUM(OSRRefD20_1x)+IFERROR(SUM(OSRRefE20_1x),0)</f>
        <v>266204.64052999998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9276.15</v>
      </c>
      <c r="F37" s="2">
        <v>9304.58</v>
      </c>
      <c r="G37" s="2">
        <v>10929.58</v>
      </c>
      <c r="H37" s="2">
        <v>9443.7999999999993</v>
      </c>
      <c r="I37" s="2">
        <v>9151.7099999999991</v>
      </c>
      <c r="J37" s="2">
        <v>6041.0143749999997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90981.674750000006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3255.04</v>
      </c>
      <c r="F39" s="2">
        <v>5113.5600000000004</v>
      </c>
      <c r="G39" s="2">
        <v>6406.54</v>
      </c>
      <c r="H39" s="2">
        <v>4795.76</v>
      </c>
      <c r="I39" s="2">
        <v>6190.28</v>
      </c>
      <c r="J39" s="2">
        <v>5145.4502400000001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65774.393280000004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3277.99</v>
      </c>
      <c r="F40" s="2">
        <v>7058.85</v>
      </c>
      <c r="G40" s="2">
        <v>13475.55</v>
      </c>
      <c r="H40" s="2">
        <v>6463.01</v>
      </c>
      <c r="I40" s="2">
        <v>8552.3799999999992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40638.839999999997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4195.3</v>
      </c>
      <c r="F42" s="2">
        <v>7810.16</v>
      </c>
      <c r="G42" s="2">
        <v>3394.81</v>
      </c>
      <c r="H42" s="2">
        <v>4474.1000000000004</v>
      </c>
      <c r="I42" s="2">
        <v>4318.21</v>
      </c>
      <c r="J42" s="2">
        <v>0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26054.940000000002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>
        <v>6660.2150000000001</v>
      </c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42754.792499999996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SUM(OSRRefD21_2x_1)</f>
        <v>16</v>
      </c>
      <c r="F46" s="1">
        <f>SUM(OSRRefD21_2x_2)</f>
        <v>66.12</v>
      </c>
      <c r="G46" s="1">
        <f>SUM(OSRRefD21_2x_3)</f>
        <v>50.23</v>
      </c>
      <c r="H46" s="1">
        <f>SUM(OSRRefD21_2x_4)</f>
        <v>128.31</v>
      </c>
      <c r="I46" s="1">
        <f>SUM(OSRRefD21_2x_5)</f>
        <v>43.53</v>
      </c>
      <c r="J46" s="1">
        <f>SUM(OSRRefE21_2x_0)</f>
        <v>0</v>
      </c>
      <c r="K46" s="1">
        <f>SUM(OSRRefE21_2x_1)</f>
        <v>0</v>
      </c>
      <c r="L46" s="1">
        <f>SUM(OSRRefE21_2x_2)</f>
        <v>0</v>
      </c>
      <c r="M46" s="1">
        <f>SUM(OSRRefE21_2x_3)</f>
        <v>0</v>
      </c>
      <c r="N46" s="1">
        <f>SUM(OSRRefE21_2x_4)</f>
        <v>0</v>
      </c>
      <c r="O46" s="1">
        <f>SUM(OSRRefE21_2x_5)</f>
        <v>0</v>
      </c>
      <c r="Q46" s="2">
        <f>SUM(OSRRefD20_2x)+IFERROR(SUM(OSRRefE20_2x),0)</f>
        <v>431.52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>
        <v>16</v>
      </c>
      <c r="F47" s="2">
        <v>66.12</v>
      </c>
      <c r="G47" s="2">
        <v>50.23</v>
      </c>
      <c r="H47" s="2">
        <v>128.31</v>
      </c>
      <c r="I47" s="2">
        <v>43.53</v>
      </c>
      <c r="J47" s="2"/>
      <c r="K47" s="2"/>
      <c r="L47" s="2"/>
      <c r="M47" s="2"/>
      <c r="N47" s="2"/>
      <c r="O47" s="2"/>
      <c r="P47" s="9"/>
      <c r="Q47" s="2">
        <f>SUM(OSRRefD21_2_0x)+IFERROR(SUM(OSRRefE21_2_0x),0)</f>
        <v>431.52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13.78</v>
      </c>
      <c r="F48" s="1">
        <f>SUM(OSRRefD21_3x_2)</f>
        <v>-15.54</v>
      </c>
      <c r="G48" s="1">
        <f>SUM(OSRRefD21_3x_3)</f>
        <v>-1.28</v>
      </c>
      <c r="H48" s="1">
        <f>SUM(OSRRefD21_3x_4)</f>
        <v>-6.09</v>
      </c>
      <c r="I48" s="1">
        <f>SUM(OSRRefD21_3x_5)</f>
        <v>29.9</v>
      </c>
      <c r="J48" s="1">
        <f>SUM(OSRRefE21_3x_0)</f>
        <v>0</v>
      </c>
      <c r="K48" s="1">
        <f>SUM(OSRRefE21_3x_1)</f>
        <v>10</v>
      </c>
      <c r="L48" s="1">
        <f>SUM(OSRRefE21_3x_2)</f>
        <v>0</v>
      </c>
      <c r="M48" s="1">
        <f>SUM(OSRRefE21_3x_3)</f>
        <v>10</v>
      </c>
      <c r="N48" s="1">
        <f>SUM(OSRRefE21_3x_4)</f>
        <v>0</v>
      </c>
      <c r="O48" s="1">
        <f>SUM(OSRRefE21_3x_5)</f>
        <v>10</v>
      </c>
      <c r="Q48" s="2">
        <f>SUM(OSRRefD20_3x)+IFERROR(SUM(OSRRefE20_3x),0)</f>
        <v>31.749999999999996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13.78</v>
      </c>
      <c r="F49" s="2">
        <v>-15.54</v>
      </c>
      <c r="G49" s="2">
        <v>-1.28</v>
      </c>
      <c r="H49" s="2">
        <v>-6.09</v>
      </c>
      <c r="I49" s="2">
        <v>29.9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31.749999999999996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SUM(OSRRefD21_4x_1)</f>
        <v>1376.48</v>
      </c>
      <c r="F50" s="1">
        <f>SUM(OSRRefD21_4x_2)</f>
        <v>1941.37</v>
      </c>
      <c r="G50" s="1">
        <f>SUM(OSRRefD21_4x_3)</f>
        <v>3141.89</v>
      </c>
      <c r="H50" s="1">
        <f>SUM(OSRRefD21_4x_4)</f>
        <v>2243.3200000000002</v>
      </c>
      <c r="I50" s="1">
        <f>SUM(OSRRefD21_4x_5)</f>
        <v>1901.7</v>
      </c>
      <c r="J50" s="1">
        <f>SUM(OSRRefE21_4x_0)</f>
        <v>2272</v>
      </c>
      <c r="K50" s="1">
        <f>SUM(OSRRefE21_4x_1)</f>
        <v>6953</v>
      </c>
      <c r="L50" s="1">
        <f>SUM(OSRRefE21_4x_2)</f>
        <v>6326</v>
      </c>
      <c r="M50" s="1">
        <f>SUM(OSRRefE21_4x_3)</f>
        <v>6108</v>
      </c>
      <c r="N50" s="1">
        <f>SUM(OSRRefE21_4x_4)</f>
        <v>3714</v>
      </c>
      <c r="O50" s="1">
        <f>SUM(OSRRefE21_4x_5)</f>
        <v>1330</v>
      </c>
      <c r="Q50" s="2">
        <f>SUM(OSRRefD20_4x)+IFERROR(SUM(OSRRefE20_4x),0)</f>
        <v>37998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1376.48</v>
      </c>
      <c r="F51" s="2">
        <v>1941.37</v>
      </c>
      <c r="G51" s="2">
        <v>3141.89</v>
      </c>
      <c r="H51" s="2">
        <v>2243.3200000000002</v>
      </c>
      <c r="I51" s="2">
        <v>1901.7</v>
      </c>
      <c r="J51" s="2">
        <v>2272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37998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SUM(OSRRefD21_5x_1)</f>
        <v>14007.34</v>
      </c>
      <c r="F52" s="1">
        <f>SUM(OSRRefD21_5x_2)</f>
        <v>14007.34</v>
      </c>
      <c r="G52" s="1">
        <f>SUM(OSRRefD21_5x_3)</f>
        <v>14007.34</v>
      </c>
      <c r="H52" s="1">
        <f>SUM(OSRRefD21_5x_4)</f>
        <v>14007.34</v>
      </c>
      <c r="I52" s="1">
        <f>SUM(OSRRefD21_5x_5)</f>
        <v>14007.34</v>
      </c>
      <c r="J52" s="1">
        <f>SUM(OSRRefE21_5x_0)</f>
        <v>13902</v>
      </c>
      <c r="K52" s="1">
        <f>SUM(OSRRefE21_5x_1)</f>
        <v>13902</v>
      </c>
      <c r="L52" s="1">
        <f>SUM(OSRRefE21_5x_2)</f>
        <v>13902</v>
      </c>
      <c r="M52" s="1">
        <f>SUM(OSRRefE21_5x_3)</f>
        <v>13902</v>
      </c>
      <c r="N52" s="1">
        <f>SUM(OSRRefE21_5x_4)</f>
        <v>13902</v>
      </c>
      <c r="O52" s="1">
        <f>SUM(OSRRefE21_5x_5)</f>
        <v>13902</v>
      </c>
      <c r="Q52" s="2">
        <f>SUM(OSRRefD20_5x)+IFERROR(SUM(OSRRefE20_5x),0)</f>
        <v>167456.03999999998</v>
      </c>
    </row>
    <row r="53" spans="1:17" s="35" customFormat="1" hidden="1" outlineLevel="1" x14ac:dyDescent="0.3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/>
      <c r="K53" s="2"/>
      <c r="L53" s="2"/>
      <c r="M53" s="2"/>
      <c r="N53" s="2"/>
      <c r="O53" s="2"/>
      <c r="P53" s="9"/>
      <c r="Q53" s="2">
        <f>SUM(OSRRefD21_5_0x)+IFERROR(SUM(OSRRefE21_5_0x),0)</f>
        <v>63583.560000000005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3410.08</v>
      </c>
      <c r="F54" s="2">
        <v>3410.08</v>
      </c>
      <c r="G54" s="2">
        <v>3410.08</v>
      </c>
      <c r="H54" s="2">
        <v>3410.08</v>
      </c>
      <c r="I54" s="2">
        <v>3410.08</v>
      </c>
      <c r="J54" s="2">
        <v>13902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103872.48000000001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0</v>
      </c>
      <c r="N55" s="1">
        <f>SUM(OSRRefE21_6x_4)</f>
        <v>50</v>
      </c>
      <c r="O55" s="1">
        <f>SUM(OSRRefE21_6x_5)</f>
        <v>0</v>
      </c>
      <c r="Q55" s="2">
        <f>SUM(OSRRefD20_6x)+IFERROR(SUM(OSRRefE20_6x),0)</f>
        <v>50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50</v>
      </c>
    </row>
    <row r="57" spans="1:17" s="35" customFormat="1" collapsed="1" x14ac:dyDescent="0.3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SUM(OSRRefD21_7x_1)</f>
        <v>328.87</v>
      </c>
      <c r="F57" s="1">
        <f>SUM(OSRRefD21_7x_2)</f>
        <v>0</v>
      </c>
      <c r="G57" s="1">
        <f>SUM(OSRRefD21_7x_3)</f>
        <v>368.72</v>
      </c>
      <c r="H57" s="1">
        <f>SUM(OSRRefD21_7x_4)</f>
        <v>0</v>
      </c>
      <c r="I57" s="1">
        <f>SUM(OSRRefD21_7x_5)</f>
        <v>925.97</v>
      </c>
      <c r="J57" s="1">
        <f>SUM(OSRRefE21_7x_0)</f>
        <v>275</v>
      </c>
      <c r="K57" s="1">
        <f>SUM(OSRRefE21_7x_1)</f>
        <v>275</v>
      </c>
      <c r="L57" s="1">
        <f>SUM(OSRRefE21_7x_2)</f>
        <v>275</v>
      </c>
      <c r="M57" s="1">
        <f>SUM(OSRRefE21_7x_3)</f>
        <v>275</v>
      </c>
      <c r="N57" s="1">
        <f>SUM(OSRRefE21_7x_4)</f>
        <v>275</v>
      </c>
      <c r="O57" s="1">
        <f>SUM(OSRRefE21_7x_5)</f>
        <v>275</v>
      </c>
      <c r="Q57" s="2">
        <f>SUM(OSRRefD20_7x)+IFERROR(SUM(OSRRefE20_7x),0)</f>
        <v>3434.76</v>
      </c>
    </row>
    <row r="58" spans="1:17" s="35" customFormat="1" hidden="1" outlineLevel="1" x14ac:dyDescent="0.3">
      <c r="A58" s="34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328.87</v>
      </c>
      <c r="F58" s="2"/>
      <c r="G58" s="2">
        <v>368.72</v>
      </c>
      <c r="H58" s="2"/>
      <c r="I58" s="2">
        <v>925.97</v>
      </c>
      <c r="J58" s="2">
        <v>275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3434.76</v>
      </c>
    </row>
    <row r="59" spans="1:17" s="35" customFormat="1" collapsed="1" x14ac:dyDescent="0.3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SUM(OSRRefD21_8x_1)</f>
        <v>1465.15</v>
      </c>
      <c r="F59" s="1">
        <f>SUM(OSRRefD21_8x_2)</f>
        <v>0</v>
      </c>
      <c r="G59" s="1">
        <f>SUM(OSRRefD21_8x_3)</f>
        <v>13.05</v>
      </c>
      <c r="H59" s="1">
        <f>SUM(OSRRefD21_8x_4)</f>
        <v>0</v>
      </c>
      <c r="I59" s="1">
        <f>SUM(OSRRefD21_8x_5)</f>
        <v>0</v>
      </c>
      <c r="J59" s="1">
        <f>SUM(OSRRefE21_8x_0)</f>
        <v>0</v>
      </c>
      <c r="K59" s="1">
        <f>SUM(OSRRefE21_8x_1)</f>
        <v>0</v>
      </c>
      <c r="L59" s="1">
        <f>SUM(OSRRefE21_8x_2)</f>
        <v>0</v>
      </c>
      <c r="M59" s="1">
        <f>SUM(OSRRefE21_8x_3)</f>
        <v>0</v>
      </c>
      <c r="N59" s="1">
        <f>SUM(OSRRefE21_8x_4)</f>
        <v>0</v>
      </c>
      <c r="O59" s="1">
        <f>SUM(OSRRefE21_8x_5)</f>
        <v>0</v>
      </c>
      <c r="Q59" s="2">
        <f>SUM(OSRRefD20_8x)+IFERROR(SUM(OSRRefE20_8x),0)</f>
        <v>1520.97</v>
      </c>
    </row>
    <row r="60" spans="1:17" s="35" customFormat="1" hidden="1" outlineLevel="1" x14ac:dyDescent="0.3">
      <c r="A60" s="34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>
        <v>1465.15</v>
      </c>
      <c r="F60" s="2"/>
      <c r="G60" s="2">
        <v>13.05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SUM(OSRRefD21_8_0x)+IFERROR(SUM(OSRRefE21_8_0x),0)</f>
        <v>1520.97</v>
      </c>
    </row>
    <row r="61" spans="1:17" s="35" customFormat="1" collapsed="1" x14ac:dyDescent="0.3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SUM(OSRRefD21_9x_1)</f>
        <v>871.61</v>
      </c>
      <c r="F61" s="1">
        <f>SUM(OSRRefD21_9x_2)</f>
        <v>871.61</v>
      </c>
      <c r="G61" s="1">
        <f>SUM(OSRRefD21_9x_3)</f>
        <v>871.61</v>
      </c>
      <c r="H61" s="1">
        <f>SUM(OSRRefD21_9x_4)</f>
        <v>871.61</v>
      </c>
      <c r="I61" s="1">
        <f>SUM(OSRRefD21_9x_5)</f>
        <v>871.61</v>
      </c>
      <c r="J61" s="1">
        <f>SUM(OSRRefE21_9x_0)</f>
        <v>850</v>
      </c>
      <c r="K61" s="1">
        <f>SUM(OSRRefE21_9x_1)</f>
        <v>850</v>
      </c>
      <c r="L61" s="1">
        <f>SUM(OSRRefE21_9x_2)</f>
        <v>850</v>
      </c>
      <c r="M61" s="1">
        <f>SUM(OSRRefE21_9x_3)</f>
        <v>850</v>
      </c>
      <c r="N61" s="1">
        <f>SUM(OSRRefE21_9x_4)</f>
        <v>850</v>
      </c>
      <c r="O61" s="1">
        <f>SUM(OSRRefE21_9x_5)</f>
        <v>850</v>
      </c>
      <c r="Q61" s="2">
        <f>SUM(OSRRefD20_9x)+IFERROR(SUM(OSRRefE20_9x),0)</f>
        <v>10329.66</v>
      </c>
    </row>
    <row r="62" spans="1:17" s="35" customFormat="1" hidden="1" outlineLevel="1" x14ac:dyDescent="0.3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871.61</v>
      </c>
      <c r="F62" s="2">
        <v>871.61</v>
      </c>
      <c r="G62" s="2">
        <v>871.61</v>
      </c>
      <c r="H62" s="2">
        <v>871.61</v>
      </c>
      <c r="I62" s="2">
        <v>871.61</v>
      </c>
      <c r="J62" s="2">
        <v>850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10329.66</v>
      </c>
    </row>
    <row r="63" spans="1:17" s="35" customFormat="1" collapsed="1" x14ac:dyDescent="0.3">
      <c r="A63" s="34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SUM(OSRRefD21_10x_1)</f>
        <v>7253</v>
      </c>
      <c r="F63" s="1">
        <f>SUM(OSRRefD21_10x_2)</f>
        <v>7253</v>
      </c>
      <c r="G63" s="1">
        <f>SUM(OSRRefD21_10x_3)</f>
        <v>6739</v>
      </c>
      <c r="H63" s="1">
        <f>SUM(OSRRefD21_10x_4)</f>
        <v>7253</v>
      </c>
      <c r="I63" s="1">
        <f>SUM(OSRRefD21_10x_5)</f>
        <v>7253</v>
      </c>
      <c r="J63" s="1">
        <f>SUM(OSRRefE21_10x_0)</f>
        <v>7253</v>
      </c>
      <c r="K63" s="1">
        <f>SUM(OSRRefE21_10x_1)</f>
        <v>7253</v>
      </c>
      <c r="L63" s="1">
        <f>SUM(OSRRefE21_10x_2)</f>
        <v>7253</v>
      </c>
      <c r="M63" s="1">
        <f>SUM(OSRRefE21_10x_3)</f>
        <v>7253</v>
      </c>
      <c r="N63" s="1">
        <f>SUM(OSRRefE21_10x_4)</f>
        <v>6982</v>
      </c>
      <c r="O63" s="1">
        <f>SUM(OSRRefE21_10x_5)</f>
        <v>6982</v>
      </c>
      <c r="Q63" s="2">
        <f>SUM(OSRRefD20_10x)+IFERROR(SUM(OSRRefE20_10x),0)</f>
        <v>85980</v>
      </c>
    </row>
    <row r="64" spans="1:17" s="35" customFormat="1" hidden="1" outlineLevel="1" x14ac:dyDescent="0.3">
      <c r="A64" s="34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6739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85980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SUM(OSRRefD21_11x_1)</f>
        <v>7690.26</v>
      </c>
      <c r="F65" s="1">
        <f>SUM(OSRRefD21_11x_2)</f>
        <v>2333.0600000000004</v>
      </c>
      <c r="G65" s="1">
        <f>SUM(OSRRefD21_11x_3)</f>
        <v>4090.19</v>
      </c>
      <c r="H65" s="1">
        <f>SUM(OSRRefD21_11x_4)</f>
        <v>1153.32</v>
      </c>
      <c r="I65" s="1">
        <f>SUM(OSRRefD21_11x_5)</f>
        <v>4801</v>
      </c>
      <c r="J65" s="1">
        <f>SUM(OSRRefE21_11x_0)</f>
        <v>880</v>
      </c>
      <c r="K65" s="1">
        <f>SUM(OSRRefE21_11x_1)</f>
        <v>500</v>
      </c>
      <c r="L65" s="1">
        <f>SUM(OSRRefE21_11x_2)</f>
        <v>500</v>
      </c>
      <c r="M65" s="1">
        <f>SUM(OSRRefE21_11x_3)</f>
        <v>1317</v>
      </c>
      <c r="N65" s="1">
        <f>SUM(OSRRefE21_11x_4)</f>
        <v>500</v>
      </c>
      <c r="O65" s="1">
        <f>SUM(OSRRefE21_11x_5)</f>
        <v>500</v>
      </c>
      <c r="Q65" s="2">
        <f>SUM(OSRRefD20_11x)+IFERROR(SUM(OSRRefE20_11x),0)</f>
        <v>25436.660000000003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107.78</v>
      </c>
      <c r="G66" s="2">
        <v>439.36</v>
      </c>
      <c r="H66" s="2">
        <v>992</v>
      </c>
      <c r="I66" s="2">
        <v>1109.3399999999999</v>
      </c>
      <c r="J66" s="2">
        <v>380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3408.4799999999996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7690.26</v>
      </c>
      <c r="F67" s="2">
        <v>2225.2800000000002</v>
      </c>
      <c r="G67" s="2">
        <v>3650.83</v>
      </c>
      <c r="H67" s="2">
        <v>161.32</v>
      </c>
      <c r="I67" s="2">
        <v>3691.66</v>
      </c>
      <c r="J67" s="2">
        <v>500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22028.18</v>
      </c>
    </row>
    <row r="68" spans="1:17" s="35" customFormat="1" collapsed="1" x14ac:dyDescent="0.3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SUM(OSRRefD21_12x_1)</f>
        <v>11409.349999999999</v>
      </c>
      <c r="F68" s="1">
        <f>SUM(OSRRefD21_12x_2)</f>
        <v>3991.59</v>
      </c>
      <c r="G68" s="1">
        <f>SUM(OSRRefD21_12x_3)</f>
        <v>5101.8300000000008</v>
      </c>
      <c r="H68" s="1">
        <f>SUM(OSRRefD21_12x_4)</f>
        <v>4018.19</v>
      </c>
      <c r="I68" s="1">
        <f>SUM(OSRRefD21_12x_5)</f>
        <v>670.75</v>
      </c>
      <c r="J68" s="1">
        <f>SUM(OSRRefE21_12x_0)</f>
        <v>4979</v>
      </c>
      <c r="K68" s="1">
        <f>SUM(OSRRefE21_12x_1)</f>
        <v>4857</v>
      </c>
      <c r="L68" s="1">
        <f>SUM(OSRRefE21_12x_2)</f>
        <v>4857</v>
      </c>
      <c r="M68" s="1">
        <f>SUM(OSRRefE21_12x_3)</f>
        <v>4979</v>
      </c>
      <c r="N68" s="1">
        <f>SUM(OSRRefE21_12x_4)</f>
        <v>4857</v>
      </c>
      <c r="O68" s="1">
        <f>SUM(OSRRefE21_12x_5)</f>
        <v>4979</v>
      </c>
      <c r="Q68" s="2">
        <f>SUM(OSRRefD20_12x)+IFERROR(SUM(OSRRefE20_12x),0)</f>
        <v>58618.84</v>
      </c>
    </row>
    <row r="69" spans="1:17" s="35" customFormat="1" hidden="1" outlineLevel="1" x14ac:dyDescent="0.3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351.55</v>
      </c>
      <c r="F69" s="2">
        <v>351.55</v>
      </c>
      <c r="G69" s="2">
        <v>703.1</v>
      </c>
      <c r="H69" s="2">
        <v>351.55</v>
      </c>
      <c r="I69" s="2">
        <v>351.55</v>
      </c>
      <c r="J69" s="2">
        <v>328</v>
      </c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4077.3</v>
      </c>
    </row>
    <row r="70" spans="1:17" s="35" customFormat="1" hidden="1" outlineLevel="1" x14ac:dyDescent="0.3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/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6000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10898.06</v>
      </c>
      <c r="F71" s="2">
        <v>3506.13</v>
      </c>
      <c r="G71" s="2">
        <v>3804.38</v>
      </c>
      <c r="H71" s="2">
        <v>3385.52</v>
      </c>
      <c r="I71" s="2"/>
      <c r="J71" s="2">
        <v>3041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43599.479999999996</v>
      </c>
    </row>
    <row r="72" spans="1:17" s="35" customFormat="1" hidden="1" outlineLevel="1" x14ac:dyDescent="0.3">
      <c r="A72" s="34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159.74</v>
      </c>
      <c r="F72" s="2">
        <v>133.91</v>
      </c>
      <c r="G72" s="2">
        <v>594.35</v>
      </c>
      <c r="H72" s="2">
        <v>281.12</v>
      </c>
      <c r="I72" s="2">
        <v>319.2</v>
      </c>
      <c r="J72" s="2">
        <v>610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4942.0600000000004</v>
      </c>
    </row>
    <row r="73" spans="1:17" s="35" customFormat="1" collapsed="1" x14ac:dyDescent="0.3">
      <c r="A73" s="34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SUM(OSRRefD21_13x_1)</f>
        <v>593.59</v>
      </c>
      <c r="F73" s="1">
        <f>SUM(OSRRefD21_13x_2)</f>
        <v>204.93</v>
      </c>
      <c r="G73" s="1">
        <f>SUM(OSRRefD21_13x_3)</f>
        <v>451.06</v>
      </c>
      <c r="H73" s="1">
        <f>SUM(OSRRefD21_13x_4)</f>
        <v>327.64</v>
      </c>
      <c r="I73" s="1">
        <f>SUM(OSRRefD21_13x_5)</f>
        <v>802.63</v>
      </c>
      <c r="J73" s="1">
        <f>SUM(OSRRefE21_13x_0)</f>
        <v>380</v>
      </c>
      <c r="K73" s="1">
        <f>SUM(OSRRefE21_13x_1)</f>
        <v>380</v>
      </c>
      <c r="L73" s="1">
        <f>SUM(OSRRefE21_13x_2)</f>
        <v>380</v>
      </c>
      <c r="M73" s="1">
        <f>SUM(OSRRefE21_13x_3)</f>
        <v>380</v>
      </c>
      <c r="N73" s="1">
        <f>SUM(OSRRefE21_13x_4)</f>
        <v>380</v>
      </c>
      <c r="O73" s="1">
        <f>SUM(OSRRefE21_13x_5)</f>
        <v>380</v>
      </c>
      <c r="Q73" s="2">
        <f>SUM(OSRRefD20_13x)+IFERROR(SUM(OSRRefE20_13x),0)</f>
        <v>4790.5200000000004</v>
      </c>
    </row>
    <row r="74" spans="1:17" s="35" customFormat="1" hidden="1" outlineLevel="1" x14ac:dyDescent="0.3">
      <c r="A74" s="34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593.59</v>
      </c>
      <c r="F74" s="2">
        <v>204.93</v>
      </c>
      <c r="G74" s="2">
        <v>451.06</v>
      </c>
      <c r="H74" s="2">
        <v>327.64</v>
      </c>
      <c r="I74" s="2">
        <v>802.63</v>
      </c>
      <c r="J74" s="2">
        <v>380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4790.5200000000004</v>
      </c>
    </row>
    <row r="75" spans="1:17" s="35" customFormat="1" collapsed="1" x14ac:dyDescent="0.3">
      <c r="A75" s="34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SUM(OSRRefD21_14x_1)</f>
        <v>1112.1500000000001</v>
      </c>
      <c r="F75" s="1">
        <f>SUM(OSRRefD21_14x_2)</f>
        <v>2359.3200000000002</v>
      </c>
      <c r="G75" s="1">
        <f>SUM(OSRRefD21_14x_3)</f>
        <v>3589.7700000000004</v>
      </c>
      <c r="H75" s="1">
        <f>SUM(OSRRefD21_14x_4)</f>
        <v>887.49</v>
      </c>
      <c r="I75" s="1">
        <f>SUM(OSRRefD21_14x_5)</f>
        <v>913.6</v>
      </c>
      <c r="J75" s="1">
        <f>SUM(OSRRefE21_14x_0)</f>
        <v>200</v>
      </c>
      <c r="K75" s="1">
        <f>SUM(OSRRefE21_14x_1)</f>
        <v>700</v>
      </c>
      <c r="L75" s="1">
        <f>SUM(OSRRefE21_14x_2)</f>
        <v>200</v>
      </c>
      <c r="M75" s="1">
        <f>SUM(OSRRefE21_14x_3)</f>
        <v>200</v>
      </c>
      <c r="N75" s="1">
        <f>SUM(OSRRefE21_14x_4)</f>
        <v>200</v>
      </c>
      <c r="O75" s="1">
        <f>SUM(OSRRefE21_14x_5)</f>
        <v>200</v>
      </c>
      <c r="Q75" s="2">
        <f>SUM(OSRRefD20_14x)+IFERROR(SUM(OSRRefE20_14x),0)</f>
        <v>11770.91</v>
      </c>
    </row>
    <row r="76" spans="1:17" s="35" customFormat="1" hidden="1" outlineLevel="1" x14ac:dyDescent="0.3">
      <c r="A76" s="34"/>
      <c r="B76" s="10" t="str">
        <f>CONCATENATE("          ","6237", " - ","JANITORIAL SUPPLIES")</f>
        <v xml:space="preserve">          6237 - JANITORIAL SUPPLIES</v>
      </c>
      <c r="C76" s="14"/>
      <c r="D76" s="2">
        <v>1002.17</v>
      </c>
      <c r="E76" s="2">
        <v>200.36</v>
      </c>
      <c r="F76" s="2">
        <v>1597.32</v>
      </c>
      <c r="G76" s="2">
        <v>804.12</v>
      </c>
      <c r="H76" s="2">
        <v>583.25</v>
      </c>
      <c r="I76" s="2">
        <v>815.51</v>
      </c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5002.7299999999996</v>
      </c>
    </row>
    <row r="77" spans="1:17" s="35" customFormat="1" hidden="1" outlineLevel="1" x14ac:dyDescent="0.3">
      <c r="A77" s="34"/>
      <c r="B77" s="10" t="str">
        <f>CONCATENATE("          ","6239", " - ","KITCHEN SUPPLIES")</f>
        <v xml:space="preserve">          6239 - KITCHEN SUPPLIES</v>
      </c>
      <c r="C77" s="14"/>
      <c r="D77" s="2">
        <v>32.03</v>
      </c>
      <c r="E77" s="2">
        <v>148.97999999999999</v>
      </c>
      <c r="F77" s="2">
        <v>737.2</v>
      </c>
      <c r="G77" s="2">
        <v>235.06</v>
      </c>
      <c r="H77" s="2">
        <v>186.11</v>
      </c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1339.38</v>
      </c>
    </row>
    <row r="78" spans="1:17" s="35" customFormat="1" hidden="1" outlineLevel="1" x14ac:dyDescent="0.3">
      <c r="A78" s="34"/>
      <c r="B78" s="10" t="str">
        <f>CONCATENATE("          ","6241", " - ","OFFICE EXPENSE")</f>
        <v xml:space="preserve">          6241 - OFFICE EXPENSE</v>
      </c>
      <c r="C78" s="14"/>
      <c r="D78" s="2">
        <v>9</v>
      </c>
      <c r="E78" s="2">
        <v>441.96</v>
      </c>
      <c r="F78" s="2">
        <v>24.8</v>
      </c>
      <c r="G78" s="2">
        <v>2550.59</v>
      </c>
      <c r="H78" s="2">
        <v>118.13</v>
      </c>
      <c r="I78" s="2">
        <v>98.09</v>
      </c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3242.5700000000006</v>
      </c>
    </row>
    <row r="79" spans="1:17" s="35" customFormat="1" hidden="1" outlineLevel="1" x14ac:dyDescent="0.3">
      <c r="A79" s="34"/>
      <c r="B79" s="10" t="str">
        <f>CONCATENATE("          ","6243", " - ","PAPER SUPPLIES")</f>
        <v xml:space="preserve">          6243 - PAPER SUPPLIES</v>
      </c>
      <c r="C79" s="14"/>
      <c r="D79" s="2">
        <v>165.38</v>
      </c>
      <c r="E79" s="2">
        <v>320.85000000000002</v>
      </c>
      <c r="F79" s="2"/>
      <c r="G79" s="2"/>
      <c r="H79" s="2"/>
      <c r="I79" s="2"/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1686.23</v>
      </c>
    </row>
    <row r="80" spans="1:17" s="35" customFormat="1" hidden="1" outlineLevel="1" x14ac:dyDescent="0.3">
      <c r="A80" s="34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/>
      <c r="H80" s="2"/>
      <c r="I80" s="2"/>
      <c r="J80" s="2"/>
      <c r="K80" s="2">
        <v>500</v>
      </c>
      <c r="L80" s="2"/>
      <c r="M80" s="2"/>
      <c r="N80" s="2"/>
      <c r="O80" s="2"/>
      <c r="P80" s="9"/>
      <c r="Q80" s="2">
        <f>SUM(OSRRefD21_14_4x)+IFERROR(SUM(OSRRefE21_14_4x),0)</f>
        <v>500</v>
      </c>
    </row>
    <row r="81" spans="1:17" s="35" customFormat="1" collapsed="1" x14ac:dyDescent="0.3">
      <c r="A81" s="34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SUM(OSRRefD21_15x_0)</f>
        <v>307</v>
      </c>
      <c r="E81" s="1">
        <f>SUM(OSRRefD21_15x_1)</f>
        <v>232</v>
      </c>
      <c r="F81" s="1">
        <f>SUM(OSRRefD21_15x_2)</f>
        <v>245.83</v>
      </c>
      <c r="G81" s="1">
        <f>SUM(OSRRefD21_15x_3)</f>
        <v>411.65</v>
      </c>
      <c r="H81" s="1">
        <f>SUM(OSRRefD21_15x_4)</f>
        <v>255.3</v>
      </c>
      <c r="I81" s="1">
        <f>SUM(OSRRefD21_15x_5)</f>
        <v>105.15</v>
      </c>
      <c r="J81" s="1">
        <f>SUM(OSRRefE21_15x_0)</f>
        <v>135</v>
      </c>
      <c r="K81" s="1">
        <f>SUM(OSRRefE21_15x_1)</f>
        <v>135</v>
      </c>
      <c r="L81" s="1">
        <f>SUM(OSRRefE21_15x_2)</f>
        <v>135</v>
      </c>
      <c r="M81" s="1">
        <f>SUM(OSRRefE21_15x_3)</f>
        <v>135</v>
      </c>
      <c r="N81" s="1">
        <f>SUM(OSRRefE21_15x_4)</f>
        <v>135</v>
      </c>
      <c r="O81" s="1">
        <f>SUM(OSRRefE21_15x_5)</f>
        <v>135</v>
      </c>
      <c r="Q81" s="2">
        <f>SUM(OSRRefD20_15x)+IFERROR(SUM(OSRRefE20_15x),0)</f>
        <v>2366.9300000000003</v>
      </c>
    </row>
    <row r="82" spans="1:17" s="35" customFormat="1" hidden="1" outlineLevel="1" x14ac:dyDescent="0.3">
      <c r="A82" s="34"/>
      <c r="B82" s="10" t="str">
        <f>CONCATENATE("          ","6303", " - ","DATA PHONE LINES")</f>
        <v xml:space="preserve">          6303 - DATA PHONE LINES</v>
      </c>
      <c r="C82" s="14"/>
      <c r="D82" s="2"/>
      <c r="E82" s="2"/>
      <c r="F82" s="2"/>
      <c r="G82" s="2"/>
      <c r="H82" s="2"/>
      <c r="I82" s="2"/>
      <c r="J82" s="2">
        <v>60</v>
      </c>
      <c r="K82" s="2">
        <v>60</v>
      </c>
      <c r="L82" s="2">
        <v>60</v>
      </c>
      <c r="M82" s="2">
        <v>60</v>
      </c>
      <c r="N82" s="2">
        <v>60</v>
      </c>
      <c r="O82" s="2">
        <v>60</v>
      </c>
      <c r="P82" s="9"/>
      <c r="Q82" s="2">
        <f>SUM(OSRRefD21_15_0x)+IFERROR(SUM(OSRRefE21_15_0x),0)</f>
        <v>360</v>
      </c>
    </row>
    <row r="83" spans="1:17" s="35" customFormat="1" hidden="1" outlineLevel="1" x14ac:dyDescent="0.3">
      <c r="A83" s="34"/>
      <c r="B83" s="10" t="str">
        <f>CONCATENATE("          ","6309", " - ","TELEPHONE")</f>
        <v xml:space="preserve">          6309 - TELEPHONE</v>
      </c>
      <c r="C83" s="14"/>
      <c r="D83" s="2">
        <v>307</v>
      </c>
      <c r="E83" s="2">
        <v>232</v>
      </c>
      <c r="F83" s="2">
        <v>245.83</v>
      </c>
      <c r="G83" s="2">
        <v>411.65</v>
      </c>
      <c r="H83" s="2">
        <v>255.3</v>
      </c>
      <c r="I83" s="2">
        <v>105.15</v>
      </c>
      <c r="J83" s="2">
        <v>75</v>
      </c>
      <c r="K83" s="2">
        <v>75</v>
      </c>
      <c r="L83" s="2">
        <v>75</v>
      </c>
      <c r="M83" s="2">
        <v>75</v>
      </c>
      <c r="N83" s="2">
        <v>75</v>
      </c>
      <c r="O83" s="2">
        <v>75</v>
      </c>
      <c r="P83" s="9"/>
      <c r="Q83" s="2">
        <f>SUM(OSRRefD21_15_1x)+IFERROR(SUM(OSRRefE21_15_1x),0)</f>
        <v>2006.93</v>
      </c>
    </row>
    <row r="84" spans="1:17" s="35" customFormat="1" collapsed="1" x14ac:dyDescent="0.3">
      <c r="A84" s="34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SUM(OSRRefD21_16x_3)</f>
        <v>0</v>
      </c>
      <c r="H84" s="1">
        <f>SUM(OSRRefD21_16x_4)</f>
        <v>0</v>
      </c>
      <c r="I84" s="1">
        <f>SUM(OSRRefD21_16x_5)</f>
        <v>0</v>
      </c>
      <c r="J84" s="1">
        <f>SUM(OSRRefE21_16x_0)</f>
        <v>60</v>
      </c>
      <c r="K84" s="1">
        <f>SUM(OSRRefE21_16x_1)</f>
        <v>0</v>
      </c>
      <c r="L84" s="1">
        <f>SUM(OSRRefE21_16x_2)</f>
        <v>300</v>
      </c>
      <c r="M84" s="1">
        <f>SUM(OSRRefE21_16x_3)</f>
        <v>0</v>
      </c>
      <c r="N84" s="1">
        <f>SUM(OSRRefE21_16x_4)</f>
        <v>0</v>
      </c>
      <c r="O84" s="1">
        <f>SUM(OSRRefE21_16x_5)</f>
        <v>0</v>
      </c>
      <c r="Q84" s="2">
        <f>SUM(OSRRefD20_16x)+IFERROR(SUM(OSRRefE20_16x),0)</f>
        <v>360</v>
      </c>
    </row>
    <row r="85" spans="1:17" s="35" customFormat="1" hidden="1" outlineLevel="1" x14ac:dyDescent="0.3">
      <c r="A85" s="34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>
        <v>60</v>
      </c>
      <c r="K85" s="2"/>
      <c r="L85" s="2">
        <v>300</v>
      </c>
      <c r="M85" s="2"/>
      <c r="N85" s="2"/>
      <c r="O85" s="2"/>
      <c r="P85" s="9"/>
      <c r="Q85" s="2">
        <f>SUM(OSRRefD21_16_0x)+IFERROR(SUM(OSRRefE21_16_0x),0)</f>
        <v>360</v>
      </c>
    </row>
    <row r="86" spans="1:17" s="35" customFormat="1" collapsed="1" x14ac:dyDescent="0.3">
      <c r="A86" s="34"/>
      <c r="B86" s="14" t="str">
        <f>CONCATENATE("     ","Utilities                                         ")</f>
        <v xml:space="preserve">     Utilities                                         </v>
      </c>
      <c r="C86" s="14"/>
      <c r="D86" s="1">
        <f>SUM(OSRRefD21_17x_0)</f>
        <v>2400</v>
      </c>
      <c r="E86" s="1">
        <f>SUM(OSRRefD21_17x_1)</f>
        <v>2400</v>
      </c>
      <c r="F86" s="1">
        <f>SUM(OSRRefD21_17x_2)</f>
        <v>2400</v>
      </c>
      <c r="G86" s="1">
        <f>SUM(OSRRefD21_17x_3)</f>
        <v>0</v>
      </c>
      <c r="H86" s="1">
        <f>SUM(OSRRefD21_17x_4)</f>
        <v>2400</v>
      </c>
      <c r="I86" s="1">
        <f>SUM(OSRRefD21_17x_5)</f>
        <v>2400</v>
      </c>
      <c r="J86" s="1">
        <f>SUM(OSRRefE21_17x_0)</f>
        <v>2417</v>
      </c>
      <c r="K86" s="1">
        <f>SUM(OSRRefE21_17x_1)</f>
        <v>2417</v>
      </c>
      <c r="L86" s="1">
        <f>SUM(OSRRefE21_17x_2)</f>
        <v>2417</v>
      </c>
      <c r="M86" s="1">
        <f>SUM(OSRRefE21_17x_3)</f>
        <v>2417</v>
      </c>
      <c r="N86" s="1">
        <f>SUM(OSRRefE21_17x_4)</f>
        <v>2417</v>
      </c>
      <c r="O86" s="1">
        <f>SUM(OSRRefE21_17x_5)</f>
        <v>2413</v>
      </c>
      <c r="Q86" s="2">
        <f>SUM(OSRRefD20_17x)+IFERROR(SUM(OSRRefE20_17x),0)</f>
        <v>26498</v>
      </c>
    </row>
    <row r="87" spans="1:17" s="35" customFormat="1" hidden="1" outlineLevel="1" x14ac:dyDescent="0.3">
      <c r="A87" s="34"/>
      <c r="B87" s="10" t="str">
        <f>CONCATENATE("          ","6274", " - ","UTILITIES")</f>
        <v xml:space="preserve">          6274 - UTILITIES</v>
      </c>
      <c r="C87" s="14"/>
      <c r="D87" s="2">
        <v>2400</v>
      </c>
      <c r="E87" s="2">
        <v>2400</v>
      </c>
      <c r="F87" s="2">
        <v>2400</v>
      </c>
      <c r="G87" s="2"/>
      <c r="H87" s="2">
        <v>2400</v>
      </c>
      <c r="I87" s="2">
        <v>2400</v>
      </c>
      <c r="J87" s="2">
        <v>2417</v>
      </c>
      <c r="K87" s="2">
        <v>2417</v>
      </c>
      <c r="L87" s="2">
        <v>2417</v>
      </c>
      <c r="M87" s="2">
        <v>2417</v>
      </c>
      <c r="N87" s="2">
        <v>2417</v>
      </c>
      <c r="O87" s="2">
        <v>2413</v>
      </c>
      <c r="P87" s="9"/>
      <c r="Q87" s="2">
        <f>SUM(OSRRefD21_17_0x)+IFERROR(SUM(OSRRefE21_17_0x),0)</f>
        <v>26498</v>
      </c>
    </row>
    <row r="88" spans="1:17" s="29" customFormat="1" x14ac:dyDescent="0.3">
      <c r="A88" s="21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s="9" customFormat="1" x14ac:dyDescent="0.3">
      <c r="A89" s="23"/>
      <c r="B89" s="16" t="s">
        <v>293</v>
      </c>
      <c r="C89" s="22"/>
      <c r="D89" s="3">
        <f>--2.33</f>
        <v>2.33</v>
      </c>
      <c r="E89" s="3">
        <f t="shared" ref="E89:I89" si="4">0</f>
        <v>0</v>
      </c>
      <c r="F89" s="3">
        <f t="shared" si="4"/>
        <v>0</v>
      </c>
      <c r="G89" s="3">
        <f t="shared" si="4"/>
        <v>0</v>
      </c>
      <c r="H89" s="3">
        <f t="shared" si="4"/>
        <v>0</v>
      </c>
      <c r="I89" s="3">
        <f t="shared" si="4"/>
        <v>0</v>
      </c>
      <c r="J89" s="3"/>
      <c r="K89" s="3"/>
      <c r="L89" s="3"/>
      <c r="M89" s="3"/>
      <c r="N89" s="3"/>
      <c r="O89" s="3"/>
      <c r="Q89" s="2">
        <f>SUM(OSRRefD23_0x)+IFERROR(SUM(OSRRefE23_0x),0)</f>
        <v>2.33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6"/>
      <c r="B91" s="17" t="s">
        <v>276</v>
      </c>
      <c r="C91" s="17"/>
      <c r="D91" s="7">
        <f t="shared" ref="D91:O91" si="5">IFERROR(+D21-D24+D89, 0)</f>
        <v>-46410.609999999993</v>
      </c>
      <c r="E91" s="7">
        <f t="shared" si="5"/>
        <v>-51299.929999999993</v>
      </c>
      <c r="F91" s="7">
        <f t="shared" si="5"/>
        <v>-38372.969999999987</v>
      </c>
      <c r="G91" s="7">
        <f t="shared" si="5"/>
        <v>-32006.930000000008</v>
      </c>
      <c r="H91" s="7">
        <f t="shared" si="5"/>
        <v>-39440.800000000003</v>
      </c>
      <c r="I91" s="7">
        <f t="shared" si="5"/>
        <v>-45938.51</v>
      </c>
      <c r="J91" s="7">
        <f t="shared" si="5"/>
        <v>-26437.079368147155</v>
      </c>
      <c r="K91" s="7">
        <f t="shared" si="5"/>
        <v>30646.550676296916</v>
      </c>
      <c r="L91" s="7">
        <f t="shared" si="5"/>
        <v>24867.053011877848</v>
      </c>
      <c r="M91" s="7">
        <f t="shared" si="5"/>
        <v>9338.5523600513116</v>
      </c>
      <c r="N91" s="7">
        <f t="shared" si="5"/>
        <v>-10647.390849212621</v>
      </c>
      <c r="O91" s="7">
        <f t="shared" si="5"/>
        <v>-28901.147065272919</v>
      </c>
      <c r="Q91" s="7">
        <f>IFERROR(+Q21-Q24+Q89, 0)</f>
        <v>-254603.21123440677</v>
      </c>
    </row>
    <row r="92" spans="1:17" s="6" customFormat="1" x14ac:dyDescent="0.3">
      <c r="B92" s="16"/>
      <c r="C92" s="16"/>
      <c r="D92" s="4">
        <f t="shared" ref="D92:O92" si="6">IFERROR(D91/D10, 0)</f>
        <v>-2.3555923137946766</v>
      </c>
      <c r="E92" s="4">
        <f t="shared" si="6"/>
        <v>-1.3896386988629867</v>
      </c>
      <c r="F92" s="4">
        <f t="shared" si="6"/>
        <v>-0.59664857786438708</v>
      </c>
      <c r="G92" s="4">
        <f t="shared" si="6"/>
        <v>-0.36180351653394943</v>
      </c>
      <c r="H92" s="4">
        <f t="shared" si="6"/>
        <v>-0.7228482870455899</v>
      </c>
      <c r="I92" s="4">
        <f t="shared" si="6"/>
        <v>-0.90593938055322465</v>
      </c>
      <c r="J92" s="4">
        <f t="shared" si="6"/>
        <v>-0.58354845859410109</v>
      </c>
      <c r="K92" s="4">
        <f t="shared" si="6"/>
        <v>0.22104969436383837</v>
      </c>
      <c r="L92" s="4">
        <f t="shared" si="6"/>
        <v>0.19711664324458875</v>
      </c>
      <c r="M92" s="4">
        <f t="shared" si="6"/>
        <v>7.6677497003459327E-2</v>
      </c>
      <c r="N92" s="4">
        <f t="shared" si="6"/>
        <v>-0.14377679899011034</v>
      </c>
      <c r="O92" s="4">
        <f t="shared" si="6"/>
        <v>-1.0895403402425137</v>
      </c>
      <c r="P92" s="18"/>
      <c r="Q92" s="4">
        <f>IFERROR(Q91/Q10, 0)</f>
        <v>-0.30054490870999412</v>
      </c>
    </row>
    <row r="93" spans="1:17" x14ac:dyDescent="0.3">
      <c r="A93" s="5"/>
      <c r="B93" s="6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25"/>
      <c r="B94" s="6" t="s">
        <v>125</v>
      </c>
      <c r="C94" s="6"/>
      <c r="D94" s="3">
        <v>9102.39</v>
      </c>
      <c r="E94" s="3">
        <v>-641.74</v>
      </c>
      <c r="F94" s="3">
        <v>6507.85</v>
      </c>
      <c r="G94" s="3">
        <v>9236.1200000000008</v>
      </c>
      <c r="H94" s="3">
        <v>7236.18</v>
      </c>
      <c r="I94" s="3">
        <v>6436.12</v>
      </c>
      <c r="J94" s="3">
        <v>5086</v>
      </c>
      <c r="K94" s="3">
        <v>16379</v>
      </c>
      <c r="L94" s="3">
        <v>15212</v>
      </c>
      <c r="M94" s="3">
        <v>15539</v>
      </c>
      <c r="N94" s="3">
        <v>9723</v>
      </c>
      <c r="O94" s="3">
        <v>-3834</v>
      </c>
      <c r="Q94" s="2">
        <f>SUM(OSRRefD28_0x)+IFERROR(SUM(OSRRefE28_0x),0)</f>
        <v>95981.920000000013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124</v>
      </c>
      <c r="C96" s="17"/>
      <c r="D96" s="8">
        <f t="shared" ref="D96:O96" si="7">IFERROR(+D91-D94, 0)</f>
        <v>-55512.999999999993</v>
      </c>
      <c r="E96" s="8">
        <f t="shared" si="7"/>
        <v>-50658.189999999995</v>
      </c>
      <c r="F96" s="8">
        <f t="shared" si="7"/>
        <v>-44880.819999999985</v>
      </c>
      <c r="G96" s="8">
        <f t="shared" si="7"/>
        <v>-41243.05000000001</v>
      </c>
      <c r="H96" s="8">
        <f t="shared" si="7"/>
        <v>-46676.98</v>
      </c>
      <c r="I96" s="8">
        <f t="shared" si="7"/>
        <v>-52374.630000000005</v>
      </c>
      <c r="J96" s="8">
        <f t="shared" si="7"/>
        <v>-31523.079368147155</v>
      </c>
      <c r="K96" s="8">
        <f t="shared" si="7"/>
        <v>14267.550676296916</v>
      </c>
      <c r="L96" s="8">
        <f t="shared" si="7"/>
        <v>9655.0530118778479</v>
      </c>
      <c r="M96" s="8">
        <f t="shared" si="7"/>
        <v>-6200.4476399486884</v>
      </c>
      <c r="N96" s="8">
        <f t="shared" si="7"/>
        <v>-20370.390849212621</v>
      </c>
      <c r="O96" s="8">
        <f t="shared" si="7"/>
        <v>-25067.147065272919</v>
      </c>
      <c r="Q96" s="8">
        <f>IFERROR(+Q91-Q94, 0)</f>
        <v>-350585.13123440678</v>
      </c>
    </row>
    <row r="97" spans="1:17" ht="15" thickTop="1" x14ac:dyDescent="0.3">
      <c r="A97" s="5"/>
      <c r="B97" s="5"/>
      <c r="C97" s="5"/>
      <c r="D97" s="4">
        <f t="shared" ref="D97:O97" si="8">IFERROR(D96/D10, 0)</f>
        <v>-2.8175883944572995</v>
      </c>
      <c r="E97" s="4">
        <f t="shared" si="8"/>
        <v>-1.3722549180545465</v>
      </c>
      <c r="F97" s="4">
        <f t="shared" si="8"/>
        <v>-0.69783697812255718</v>
      </c>
      <c r="G97" s="4">
        <f t="shared" si="8"/>
        <v>-0.4662078032034157</v>
      </c>
      <c r="H97" s="4">
        <f t="shared" si="8"/>
        <v>-0.85546883018248254</v>
      </c>
      <c r="I97" s="4">
        <f t="shared" si="8"/>
        <v>-1.032864145112768</v>
      </c>
      <c r="J97" s="4">
        <f t="shared" si="8"/>
        <v>-0.69581227635853693</v>
      </c>
      <c r="K97" s="4">
        <f t="shared" si="8"/>
        <v>0.10291003870642101</v>
      </c>
      <c r="L97" s="4">
        <f t="shared" si="8"/>
        <v>7.6533863467490901E-2</v>
      </c>
      <c r="M97" s="4">
        <f t="shared" si="8"/>
        <v>-5.0910974956471698E-2</v>
      </c>
      <c r="N97" s="4">
        <f t="shared" si="8"/>
        <v>-0.27507110727449358</v>
      </c>
      <c r="O97" s="4">
        <f t="shared" si="8"/>
        <v>-0.94500290527304975</v>
      </c>
      <c r="P97" s="18"/>
      <c r="Q97" s="4">
        <f>IFERROR(Q96/Q10, 0)</f>
        <v>-0.41384621879304478</v>
      </c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x14ac:dyDescent="0.3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" thickBot="1" x14ac:dyDescent="0.35">
      <c r="A100" s="6"/>
      <c r="B100" s="17" t="s">
        <v>294</v>
      </c>
      <c r="C100" s="17"/>
      <c r="D100" s="8">
        <f t="shared" ref="D100:O100" si="9">IFERROR(SUM(D96:D99), 0)</f>
        <v>-55515.81758839445</v>
      </c>
      <c r="E100" s="8">
        <f t="shared" si="9"/>
        <v>-50659.562254918048</v>
      </c>
      <c r="F100" s="8">
        <f t="shared" si="9"/>
        <v>-44881.517836978106</v>
      </c>
      <c r="G100" s="8">
        <f t="shared" si="9"/>
        <v>-41243.516207803215</v>
      </c>
      <c r="H100" s="8">
        <f t="shared" si="9"/>
        <v>-46677.835468830184</v>
      </c>
      <c r="I100" s="8">
        <f t="shared" si="9"/>
        <v>-52375.662864145117</v>
      </c>
      <c r="J100" s="8">
        <f t="shared" si="9"/>
        <v>-31523.775180423512</v>
      </c>
      <c r="K100" s="8">
        <f t="shared" si="9"/>
        <v>14267.653586335622</v>
      </c>
      <c r="L100" s="8">
        <f t="shared" si="9"/>
        <v>9655.1295457413162</v>
      </c>
      <c r="M100" s="8">
        <f t="shared" si="9"/>
        <v>-6200.4985509236449</v>
      </c>
      <c r="N100" s="8">
        <f t="shared" si="9"/>
        <v>-20370.665920319894</v>
      </c>
      <c r="O100" s="8">
        <f t="shared" si="9"/>
        <v>-25068.09206817819</v>
      </c>
      <c r="Q100" s="8">
        <f>IFERROR(SUM(Q96:Q99), 0)</f>
        <v>-350585.54508062557</v>
      </c>
    </row>
    <row r="101" spans="1:17" ht="15" thickTop="1" x14ac:dyDescent="0.3">
      <c r="A101" s="5"/>
      <c r="C101" s="5"/>
      <c r="D101" s="4">
        <f t="shared" ref="D101:O101" si="10">IFERROR(D100/D10, 0)</f>
        <v>-2.8177314024799354</v>
      </c>
      <c r="E101" s="4">
        <f t="shared" si="10"/>
        <v>-1.3722920903964744</v>
      </c>
      <c r="F101" s="4">
        <f t="shared" si="10"/>
        <v>-0.69784782855817828</v>
      </c>
      <c r="G101" s="4">
        <f t="shared" si="10"/>
        <v>-0.46621307317534477</v>
      </c>
      <c r="H101" s="4">
        <f t="shared" si="10"/>
        <v>-0.85548450872294113</v>
      </c>
      <c r="I101" s="4">
        <f t="shared" si="10"/>
        <v>-1.0328845139123615</v>
      </c>
      <c r="J101" s="4">
        <f t="shared" si="10"/>
        <v>-0.69582763509675771</v>
      </c>
      <c r="K101" s="4">
        <f t="shared" si="10"/>
        <v>0.10291078098351586</v>
      </c>
      <c r="L101" s="4">
        <f t="shared" si="10"/>
        <v>7.653447013762002E-2</v>
      </c>
      <c r="M101" s="4">
        <f t="shared" si="10"/>
        <v>-5.0911392979092245E-2</v>
      </c>
      <c r="N101" s="4">
        <f t="shared" si="10"/>
        <v>-0.27507482169090397</v>
      </c>
      <c r="O101" s="4">
        <f t="shared" si="10"/>
        <v>-0.94503853080668743</v>
      </c>
      <c r="P101" s="18"/>
      <c r="Q101" s="4">
        <f>IFERROR(Q100/Q10, 0)</f>
        <v>-0.41384670731545359</v>
      </c>
    </row>
    <row r="102" spans="1:17" x14ac:dyDescent="0.3">
      <c r="A102" s="5"/>
      <c r="B102" s="28">
        <v>44575.850692245367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26" t="s">
        <v>54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A104" s="5"/>
      <c r="B104" s="3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3"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10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","418", " - ", "Nugget")</f>
        <v>Department 418 - Nugget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75717</v>
      </c>
      <c r="K10" s="3">
        <f>SUM(OSRRefE11x_1)</f>
        <v>168573</v>
      </c>
      <c r="L10" s="3">
        <f>SUM(OSRRefE11x_2)</f>
        <v>163353</v>
      </c>
      <c r="M10" s="3">
        <f>SUM(OSRRefE11x_3)</f>
        <v>180776</v>
      </c>
      <c r="N10" s="3">
        <f>SUM(OSRRefE11x_4)</f>
        <v>111906</v>
      </c>
      <c r="O10" s="3">
        <f>SUM(OSRRefE11x_5)</f>
        <v>43661</v>
      </c>
      <c r="P10" s="24"/>
      <c r="Q10" s="3">
        <f>SUM(OSRRefG11x)</f>
        <v>743986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I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48686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478386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27031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265600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-710.88</v>
      </c>
      <c r="F14" s="3">
        <f>SUM(OSRRefD14x_2)</f>
        <v>0</v>
      </c>
      <c r="G14" s="3">
        <f>SUM(OSRRefD14x_3)</f>
        <v>1837</v>
      </c>
      <c r="H14" s="3">
        <f>SUM(OSRRefD14x_4)</f>
        <v>0</v>
      </c>
      <c r="I14" s="3">
        <f>SUM(OSRRefD14x_5)</f>
        <v>223.3</v>
      </c>
      <c r="J14" s="3">
        <f>SUM(OSRRefE14x_0)</f>
        <v>26501</v>
      </c>
      <c r="K14" s="3">
        <f>SUM(OSRRefE14x_1)</f>
        <v>57315</v>
      </c>
      <c r="L14" s="3">
        <f>SUM(OSRRefE14x_2)</f>
        <v>55540</v>
      </c>
      <c r="M14" s="3">
        <f>SUM(OSRRefE14x_3)</f>
        <v>61464</v>
      </c>
      <c r="N14" s="3">
        <f>SUM(OSRRefE14x_4)</f>
        <v>38048</v>
      </c>
      <c r="O14" s="3">
        <f>SUM(OSRRefE14x_5)</f>
        <v>14845</v>
      </c>
      <c r="Q14" s="3">
        <f>SUM(OSRRefG14x)</f>
        <v>255062.42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26501</v>
      </c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253713</v>
      </c>
    </row>
    <row r="16" spans="1:18" s="9" customFormat="1" hidden="1" outlineLevel="1" x14ac:dyDescent="0.3">
      <c r="A16" s="23"/>
      <c r="B16" s="10" t="str">
        <f>CONCATENATE("          ","5053", " - ","PURCHASES @ COST-FOOD")</f>
        <v xml:space="preserve">          5053 - PURCHASES @ COST-FOOD</v>
      </c>
      <c r="C16" s="22"/>
      <c r="D16" s="2"/>
      <c r="E16" s="2">
        <v>-710.88</v>
      </c>
      <c r="F16" s="2"/>
      <c r="G16" s="2">
        <v>1837</v>
      </c>
      <c r="H16" s="2"/>
      <c r="I16" s="2">
        <v>223.3</v>
      </c>
      <c r="J16" s="2"/>
      <c r="K16" s="2"/>
      <c r="L16" s="2"/>
      <c r="M16" s="2"/>
      <c r="N16" s="2"/>
      <c r="O16" s="2"/>
      <c r="Q16" s="2">
        <f>SUM(OSRRefD14_1x)+IFERROR(SUM(OSRRefE14_1x),0)</f>
        <v>1349.4199999999998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710.88</v>
      </c>
      <c r="F18" s="7">
        <f t="shared" si="1"/>
        <v>0</v>
      </c>
      <c r="G18" s="7">
        <f t="shared" si="1"/>
        <v>-1837</v>
      </c>
      <c r="H18" s="7">
        <f t="shared" si="1"/>
        <v>0</v>
      </c>
      <c r="I18" s="7">
        <f t="shared" si="1"/>
        <v>-223.3</v>
      </c>
      <c r="J18" s="7">
        <f t="shared" si="1"/>
        <v>49216</v>
      </c>
      <c r="K18" s="7">
        <f t="shared" si="1"/>
        <v>111258</v>
      </c>
      <c r="L18" s="7">
        <f t="shared" si="1"/>
        <v>107813</v>
      </c>
      <c r="M18" s="7">
        <f t="shared" si="1"/>
        <v>119312</v>
      </c>
      <c r="N18" s="7">
        <f t="shared" si="1"/>
        <v>73858</v>
      </c>
      <c r="O18" s="7">
        <f t="shared" si="1"/>
        <v>28816</v>
      </c>
      <c r="Q18" s="7">
        <f>IFERROR(+Q10-Q14, 0)</f>
        <v>488923.57999999996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0.64999933964631451</v>
      </c>
      <c r="K19" s="4">
        <f t="shared" si="2"/>
        <v>0.65999893221334383</v>
      </c>
      <c r="L19" s="4">
        <f t="shared" si="2"/>
        <v>0.66000012243423756</v>
      </c>
      <c r="M19" s="4">
        <f t="shared" si="2"/>
        <v>0.65999911492676022</v>
      </c>
      <c r="N19" s="4">
        <f t="shared" si="2"/>
        <v>0.66000035744285379</v>
      </c>
      <c r="O19" s="4">
        <f t="shared" si="2"/>
        <v>0.65999404502874415</v>
      </c>
      <c r="P19" s="18"/>
      <c r="Q19" s="4">
        <f>IFERROR(Q18/Q10, 0)</f>
        <v>0.65716771552152853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2">
        <f>SUM(OSRRefD20x_0)</f>
        <v>21761.300000000003</v>
      </c>
      <c r="E21" s="12">
        <f>SUM(OSRRefD20x_1)</f>
        <v>25441.59</v>
      </c>
      <c r="F21" s="12">
        <f>SUM(OSRRefD20x_2)</f>
        <v>14035.579999999998</v>
      </c>
      <c r="G21" s="12">
        <f>SUM(OSRRefD20x_3)</f>
        <v>12695.1</v>
      </c>
      <c r="H21" s="12">
        <f>SUM(OSRRefD20x_4)</f>
        <v>10905.939999999999</v>
      </c>
      <c r="I21" s="12">
        <f>SUM(OSRRefD20x_5)</f>
        <v>17424.939999999999</v>
      </c>
      <c r="J21" s="12">
        <f>SUM(OSRRefE20x_0)</f>
        <v>52554.364565249241</v>
      </c>
      <c r="K21" s="12">
        <f>SUM(OSRRefE20x_1)</f>
        <v>63997.00654618461</v>
      </c>
      <c r="L21" s="12">
        <f>SUM(OSRRefE20x_2)</f>
        <v>62985.022526787681</v>
      </c>
      <c r="M21" s="12">
        <f>SUM(OSRRefE20x_3)</f>
        <v>67813.087823440001</v>
      </c>
      <c r="N21" s="12">
        <f>SUM(OSRRefE20x_4)</f>
        <v>54112.58574618461</v>
      </c>
      <c r="O21" s="12">
        <f>SUM(OSRRefE20x_5)</f>
        <v>44929.69979997538</v>
      </c>
      <c r="Q21" s="12">
        <f>SUM(OSRRefG20x)</f>
        <v>448656.21700782148</v>
      </c>
    </row>
    <row r="22" spans="1:17" s="35" customFormat="1" collapsed="1" x14ac:dyDescent="0.3">
      <c r="A22" s="34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5008.0300000000007</v>
      </c>
      <c r="E22" s="1">
        <f>SUM(OSRRefD21_0x_1)</f>
        <v>5331.76</v>
      </c>
      <c r="F22" s="1">
        <f>SUM(OSRRefD21_0x_2)</f>
        <v>4271.13</v>
      </c>
      <c r="G22" s="1">
        <f>SUM(OSRRefD21_0x_3)</f>
        <v>122.28</v>
      </c>
      <c r="H22" s="1">
        <f>SUM(OSRRefD21_0x_4)</f>
        <v>480.97</v>
      </c>
      <c r="I22" s="1">
        <f>SUM(OSRRefD21_0x_5)</f>
        <v>1745.8</v>
      </c>
      <c r="J22" s="1">
        <f>SUM(OSRRefE21_0x_0)</f>
        <v>11401.995688326158</v>
      </c>
      <c r="K22" s="1">
        <f>SUM(OSRRefE21_0x_1)</f>
        <v>11836.577084646149</v>
      </c>
      <c r="L22" s="1">
        <f>SUM(OSRRefE21_0x_2)</f>
        <v>11607.028265249226</v>
      </c>
      <c r="M22" s="1">
        <f>SUM(OSRRefE21_0x_3)</f>
        <v>13100.501746516931</v>
      </c>
      <c r="N22" s="1">
        <f>SUM(OSRRefE21_0x_4)</f>
        <v>11369.500684646151</v>
      </c>
      <c r="O22" s="1">
        <f>SUM(OSRRefE21_0x_5)</f>
        <v>11695.126138436921</v>
      </c>
      <c r="Q22" s="2">
        <f>SUM(OSRRefD20_0x)+IFERROR(SUM(OSRRefE20_0x),0)</f>
        <v>87970.699607821531</v>
      </c>
    </row>
    <row r="23" spans="1:17" s="35" customFormat="1" hidden="1" outlineLevel="1" x14ac:dyDescent="0.3">
      <c r="A23" s="34"/>
      <c r="B23" s="10" t="str">
        <f>CONCATENATE("          ","6111", " - ","F.I.C.A.")</f>
        <v xml:space="preserve">          6111 - F.I.C.A.</v>
      </c>
      <c r="C23" s="14"/>
      <c r="D23" s="2">
        <v>512.97</v>
      </c>
      <c r="E23" s="2">
        <v>702.48</v>
      </c>
      <c r="F23" s="2">
        <v>440.62</v>
      </c>
      <c r="G23" s="2">
        <v>122.28</v>
      </c>
      <c r="H23" s="2">
        <v>139.52000000000001</v>
      </c>
      <c r="I23" s="2">
        <v>424.03</v>
      </c>
      <c r="J23" s="2">
        <v>1249.12977140308</v>
      </c>
      <c r="K23" s="2">
        <v>1189.64519233846</v>
      </c>
      <c r="L23" s="2">
        <v>1154.64465601846</v>
      </c>
      <c r="M23" s="2">
        <v>1354.1313803630801</v>
      </c>
      <c r="N23" s="2">
        <v>1189.64519233846</v>
      </c>
      <c r="O23" s="2">
        <v>1182.9527968984601</v>
      </c>
      <c r="P23" s="9"/>
      <c r="Q23" s="2">
        <f>SUM(OSRRefD21_0_0x)+IFERROR(SUM(OSRRefE21_0_0x),0)</f>
        <v>9662.0489893600006</v>
      </c>
    </row>
    <row r="24" spans="1:17" s="35" customFormat="1" hidden="1" outlineLevel="1" x14ac:dyDescent="0.3">
      <c r="A24" s="34"/>
      <c r="B24" s="10" t="str">
        <f>CONCATENATE("          ","6112", " - ","COMPENSATION INSURANCE")</f>
        <v xml:space="preserve">          6112 - COMPENSATION INSURANCE</v>
      </c>
      <c r="C24" s="14"/>
      <c r="D24" s="2">
        <v>240.59</v>
      </c>
      <c r="E24" s="2">
        <v>341.54</v>
      </c>
      <c r="F24" s="2">
        <v>188.35</v>
      </c>
      <c r="G24" s="2"/>
      <c r="H24" s="2">
        <v>29.9</v>
      </c>
      <c r="I24" s="2">
        <v>199.39</v>
      </c>
      <c r="J24" s="2">
        <v>954.79169178461598</v>
      </c>
      <c r="K24" s="2">
        <v>1241.4842943076901</v>
      </c>
      <c r="L24" s="2">
        <v>1187.8154687076899</v>
      </c>
      <c r="M24" s="2">
        <v>1294.3935805846199</v>
      </c>
      <c r="N24" s="2">
        <v>988.59578630769204</v>
      </c>
      <c r="O24" s="2">
        <v>775.29807310769195</v>
      </c>
      <c r="P24" s="9"/>
      <c r="Q24" s="2">
        <f>SUM(OSRRefD21_0_1x)+IFERROR(SUM(OSRRefE21_0_1x),0)</f>
        <v>7442.1488948000006</v>
      </c>
    </row>
    <row r="25" spans="1:17" s="35" customFormat="1" hidden="1" outlineLevel="1" x14ac:dyDescent="0.3">
      <c r="A25" s="34"/>
      <c r="B25" s="10" t="str">
        <f>CONCATENATE("          ","6113", " - ","GROUP INSURANCE")</f>
        <v xml:space="preserve">          6113 - GROUP INSURANCE</v>
      </c>
      <c r="C25" s="14"/>
      <c r="D25" s="2">
        <v>3353.46</v>
      </c>
      <c r="E25" s="2">
        <v>3353.46</v>
      </c>
      <c r="F25" s="2">
        <v>3346.16</v>
      </c>
      <c r="G25" s="2"/>
      <c r="H25" s="2"/>
      <c r="I25" s="2">
        <v>44.18</v>
      </c>
      <c r="J25" s="2">
        <v>6061.2615384615401</v>
      </c>
      <c r="K25" s="2">
        <v>6307.5384615384601</v>
      </c>
      <c r="L25" s="2">
        <v>6061.2615384615401</v>
      </c>
      <c r="M25" s="2">
        <v>6800.09230769231</v>
      </c>
      <c r="N25" s="2">
        <v>6307.5384615384601</v>
      </c>
      <c r="O25" s="2">
        <v>7046.3692307692299</v>
      </c>
      <c r="P25" s="9"/>
      <c r="Q25" s="2">
        <f>SUM(OSRRefD21_0_2x)+IFERROR(SUM(OSRRefE21_0_2x),0)</f>
        <v>48681.32153846154</v>
      </c>
    </row>
    <row r="26" spans="1:17" s="35" customFormat="1" hidden="1" outlineLevel="1" x14ac:dyDescent="0.3">
      <c r="A26" s="34"/>
      <c r="B26" s="10" t="str">
        <f>CONCATENATE("          ","6114", " - ","STATE UNEMPLOYMENT INSURANCE")</f>
        <v xml:space="preserve">          6114 - STATE UNEMPLOYMENT INSURANCE</v>
      </c>
      <c r="C26" s="14"/>
      <c r="D26" s="2">
        <v>17.43</v>
      </c>
      <c r="E26" s="2">
        <v>24.67</v>
      </c>
      <c r="F26" s="2">
        <v>14.91</v>
      </c>
      <c r="G26" s="2"/>
      <c r="H26" s="2">
        <v>2.16</v>
      </c>
      <c r="I26" s="2">
        <v>14.4</v>
      </c>
      <c r="J26" s="2">
        <v>52.904025138461499</v>
      </c>
      <c r="K26" s="2">
        <v>68.789367230769201</v>
      </c>
      <c r="L26" s="2">
        <v>65.815632830769204</v>
      </c>
      <c r="M26" s="2">
        <v>71.721016338461496</v>
      </c>
      <c r="N26" s="2">
        <v>54.777075230769199</v>
      </c>
      <c r="O26" s="2">
        <v>42.958468430769202</v>
      </c>
      <c r="P26" s="9"/>
      <c r="Q26" s="2">
        <f>SUM(OSRRefD21_0_3x)+IFERROR(SUM(OSRRefE21_0_3x),0)</f>
        <v>430.53558519999979</v>
      </c>
    </row>
    <row r="27" spans="1:17" s="35" customFormat="1" hidden="1" outlineLevel="1" x14ac:dyDescent="0.3">
      <c r="A27" s="34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>
        <v>63.05</v>
      </c>
      <c r="I27" s="2">
        <v>420.37</v>
      </c>
      <c r="J27" s="2">
        <v>530.88461538461502</v>
      </c>
      <c r="K27" s="2">
        <v>424.70769230769201</v>
      </c>
      <c r="L27" s="2">
        <v>424.70769230769201</v>
      </c>
      <c r="M27" s="2">
        <v>530.88461538461502</v>
      </c>
      <c r="N27" s="2">
        <v>424.70769230769201</v>
      </c>
      <c r="O27" s="2">
        <v>424.70769230769201</v>
      </c>
      <c r="P27" s="9"/>
      <c r="Q27" s="2">
        <f>SUM(OSRRefD21_0_4x)+IFERROR(SUM(OSRRefE21_0_4x),0)</f>
        <v>3244.0199999999982</v>
      </c>
    </row>
    <row r="28" spans="1:17" s="35" customFormat="1" hidden="1" outlineLevel="1" x14ac:dyDescent="0.3">
      <c r="A28" s="34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">
      <c r="A29" s="34"/>
      <c r="B29" s="10" t="str">
        <f>CONCATENATE("          ","6118", " - ","VACATION")</f>
        <v xml:space="preserve">          6118 - VACATION</v>
      </c>
      <c r="C29" s="14"/>
      <c r="D29" s="2">
        <v>277.64</v>
      </c>
      <c r="E29" s="2">
        <v>289.12</v>
      </c>
      <c r="F29" s="2">
        <v>144.56</v>
      </c>
      <c r="G29" s="2"/>
      <c r="H29" s="2">
        <v>106.62</v>
      </c>
      <c r="I29" s="2">
        <v>213.24</v>
      </c>
      <c r="J29" s="2">
        <v>445.87838769230802</v>
      </c>
      <c r="K29" s="2">
        <v>422.56024615384598</v>
      </c>
      <c r="L29" s="2">
        <v>408.83992615384602</v>
      </c>
      <c r="M29" s="2">
        <v>487.03934769230801</v>
      </c>
      <c r="N29" s="2">
        <v>422.56024615384598</v>
      </c>
      <c r="O29" s="2">
        <v>463.72120615384603</v>
      </c>
      <c r="P29" s="9"/>
      <c r="Q29" s="2">
        <f>SUM(OSRRefD21_0_6x)+IFERROR(SUM(OSRRefE21_0_6x),0)</f>
        <v>3681.77936</v>
      </c>
    </row>
    <row r="30" spans="1:17" s="35" customFormat="1" hidden="1" outlineLevel="1" x14ac:dyDescent="0.3">
      <c r="A30" s="34"/>
      <c r="B30" s="10" t="str">
        <f>CONCATENATE("          ","6119", " - ","SICK LEAVE")</f>
        <v xml:space="preserve">          6119 - SICK LEAVE</v>
      </c>
      <c r="C30" s="14"/>
      <c r="D30" s="2">
        <v>263.87</v>
      </c>
      <c r="E30" s="2">
        <v>273.06</v>
      </c>
      <c r="F30" s="2">
        <v>136.53</v>
      </c>
      <c r="G30" s="2"/>
      <c r="H30" s="2">
        <v>127.73</v>
      </c>
      <c r="I30" s="2">
        <v>255.46</v>
      </c>
      <c r="J30" s="2">
        <v>607.14565846153801</v>
      </c>
      <c r="K30" s="2">
        <v>841.85183076923101</v>
      </c>
      <c r="L30" s="2">
        <v>803.94335076923096</v>
      </c>
      <c r="M30" s="2">
        <v>862.23949846153903</v>
      </c>
      <c r="N30" s="2">
        <v>641.67623076923098</v>
      </c>
      <c r="O30" s="2">
        <v>459.11867076923102</v>
      </c>
      <c r="P30" s="9"/>
      <c r="Q30" s="2">
        <f>SUM(OSRRefD21_0_7x)+IFERROR(SUM(OSRRefE21_0_7x),0)</f>
        <v>5272.6252400000012</v>
      </c>
    </row>
    <row r="31" spans="1:17" s="35" customFormat="1" hidden="1" outlineLevel="1" x14ac:dyDescent="0.3">
      <c r="A31" s="34"/>
      <c r="B31" s="10" t="str">
        <f>CONCATENATE("          ","6156", " - ","EMPLOYEE MEALS")</f>
        <v xml:space="preserve">          6156 - EMPLOYEE MEALS</v>
      </c>
      <c r="C31" s="14"/>
      <c r="D31" s="2">
        <v>342.07</v>
      </c>
      <c r="E31" s="2">
        <v>347.43</v>
      </c>
      <c r="F31" s="2"/>
      <c r="G31" s="2"/>
      <c r="H31" s="2">
        <v>11.99</v>
      </c>
      <c r="I31" s="2">
        <v>174.73</v>
      </c>
      <c r="J31" s="2">
        <v>1500</v>
      </c>
      <c r="K31" s="2">
        <v>1340</v>
      </c>
      <c r="L31" s="2">
        <v>1500</v>
      </c>
      <c r="M31" s="2">
        <v>1700</v>
      </c>
      <c r="N31" s="2">
        <v>1340</v>
      </c>
      <c r="O31" s="2">
        <v>1300</v>
      </c>
      <c r="P31" s="9"/>
      <c r="Q31" s="2">
        <f>SUM(OSRRefD21_0_8x)+IFERROR(SUM(OSRRefE21_0_8x),0)</f>
        <v>9556.2199999999993</v>
      </c>
    </row>
    <row r="32" spans="1:17" s="35" customFormat="1" collapsed="1" x14ac:dyDescent="0.3">
      <c r="A32" s="34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8439.6</v>
      </c>
      <c r="E32" s="1">
        <f>SUM(OSRRefD21_1x_1)</f>
        <v>9019.7800000000007</v>
      </c>
      <c r="F32" s="1">
        <f>SUM(OSRRefD21_1x_2)</f>
        <v>2565.7299999999996</v>
      </c>
      <c r="G32" s="1">
        <f>SUM(OSRRefD21_1x_3)</f>
        <v>1598.5</v>
      </c>
      <c r="H32" s="1">
        <f>SUM(OSRRefD21_1x_4)</f>
        <v>1823.85</v>
      </c>
      <c r="I32" s="1">
        <f>SUM(OSRRefD21_1x_5)</f>
        <v>5538.48</v>
      </c>
      <c r="J32" s="1">
        <f>SUM(OSRRefE21_1x_0)</f>
        <v>24139.368876923079</v>
      </c>
      <c r="K32" s="1">
        <f>SUM(OSRRefE21_1x_1)</f>
        <v>31492.429461538461</v>
      </c>
      <c r="L32" s="1">
        <f>SUM(OSRRefE21_1x_2)</f>
        <v>30127.994261538457</v>
      </c>
      <c r="M32" s="1">
        <f>SUM(OSRRefE21_1x_3)</f>
        <v>32803.586076923079</v>
      </c>
      <c r="N32" s="1">
        <f>SUM(OSRRefE21_1x_4)</f>
        <v>25020.085061538459</v>
      </c>
      <c r="O32" s="1">
        <f>SUM(OSRRefE21_1x_5)</f>
        <v>19533.573661538459</v>
      </c>
      <c r="Q32" s="2">
        <f>SUM(OSRRefD20_1x)+IFERROR(SUM(OSRRefE20_1x),0)</f>
        <v>192102.97739999997</v>
      </c>
    </row>
    <row r="33" spans="1:17" s="35" customFormat="1" hidden="1" outlineLevel="1" x14ac:dyDescent="0.3">
      <c r="A33" s="34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">
      <c r="A34" s="34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/>
      <c r="H34" s="2">
        <v>830.76</v>
      </c>
      <c r="I34" s="2">
        <v>5538.48</v>
      </c>
      <c r="J34" s="2">
        <v>5864.4230769230799</v>
      </c>
      <c r="K34" s="2">
        <v>4691.5384615384601</v>
      </c>
      <c r="L34" s="2">
        <v>4691.5384615384601</v>
      </c>
      <c r="M34" s="2">
        <v>5864.4230769230799</v>
      </c>
      <c r="N34" s="2">
        <v>4691.5384615384601</v>
      </c>
      <c r="O34" s="2">
        <v>4691.5384615384601</v>
      </c>
      <c r="P34" s="9"/>
      <c r="Q34" s="2">
        <f>SUM(OSRRefD21_1_1x)+IFERROR(SUM(OSRRefE21_1_1x),0)</f>
        <v>36864.239999999998</v>
      </c>
    </row>
    <row r="35" spans="1:17" s="35" customFormat="1" hidden="1" outlineLevel="1" x14ac:dyDescent="0.3">
      <c r="A35" s="34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">
      <c r="A36" s="34"/>
      <c r="B36" s="10" t="str">
        <f>CONCATENATE("          ","6004", " - ","STAFF HOURLY")</f>
        <v xml:space="preserve">          6004 - STAFF HOURLY</v>
      </c>
      <c r="C36" s="14"/>
      <c r="D36" s="2">
        <v>4731.2700000000004</v>
      </c>
      <c r="E36" s="2">
        <v>4416.18</v>
      </c>
      <c r="F36" s="2">
        <v>2631.61</v>
      </c>
      <c r="G36" s="2">
        <v>1598.5</v>
      </c>
      <c r="H36" s="2">
        <v>993.09</v>
      </c>
      <c r="I36" s="2"/>
      <c r="J36" s="2">
        <v>8255.0591999999997</v>
      </c>
      <c r="K36" s="2">
        <v>8689.5360000000001</v>
      </c>
      <c r="L36" s="2">
        <v>8255.0591999999997</v>
      </c>
      <c r="M36" s="2">
        <v>9558.4896000000008</v>
      </c>
      <c r="N36" s="2">
        <v>8689.5360000000001</v>
      </c>
      <c r="O36" s="2">
        <v>9992.9663999999993</v>
      </c>
      <c r="P36" s="9"/>
      <c r="Q36" s="2">
        <f>SUM(OSRRefD21_1_3x)+IFERROR(SUM(OSRRefE21_1_3x),0)</f>
        <v>67811.296399999992</v>
      </c>
    </row>
    <row r="37" spans="1:17" s="35" customFormat="1" hidden="1" outlineLevel="1" x14ac:dyDescent="0.3">
      <c r="A37" s="34"/>
      <c r="B37" s="10" t="str">
        <f>CONCATENATE("          ","6005", " - ","TEMPORARY WAGES-HOURLY")</f>
        <v xml:space="preserve">          6005 - TEMPORARY WAGES-HOURLY</v>
      </c>
      <c r="C37" s="14"/>
      <c r="D37" s="2">
        <v>1542.33</v>
      </c>
      <c r="E37" s="2">
        <v>3895.6</v>
      </c>
      <c r="F37" s="2">
        <v>2808.12</v>
      </c>
      <c r="G37" s="2"/>
      <c r="H37" s="2"/>
      <c r="I37" s="2"/>
      <c r="J37" s="2">
        <v>3038.9712</v>
      </c>
      <c r="K37" s="2">
        <v>5347.2608</v>
      </c>
      <c r="L37" s="2">
        <v>4998.5263999999997</v>
      </c>
      <c r="M37" s="2">
        <v>5197.8032000000003</v>
      </c>
      <c r="N37" s="2">
        <v>4599.9727999999996</v>
      </c>
      <c r="O37" s="2">
        <v>4849.0688</v>
      </c>
      <c r="P37" s="9"/>
      <c r="Q37" s="2">
        <f>SUM(OSRRefD21_1_4x)+IFERROR(SUM(OSRRefE21_1_4x),0)</f>
        <v>36277.653200000001</v>
      </c>
    </row>
    <row r="38" spans="1:17" s="35" customFormat="1" hidden="1" outlineLevel="1" x14ac:dyDescent="0.3">
      <c r="A38" s="34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">
      <c r="A39" s="34"/>
      <c r="B39" s="10" t="str">
        <f>CONCATENATE("          ","6007", " - ","STUDENT HOURLY")</f>
        <v xml:space="preserve">          6007 - STUDENT HOURLY</v>
      </c>
      <c r="C39" s="14"/>
      <c r="D39" s="2">
        <v>2166</v>
      </c>
      <c r="E39" s="2">
        <v>708</v>
      </c>
      <c r="F39" s="2">
        <v>-2874</v>
      </c>
      <c r="G39" s="2"/>
      <c r="H39" s="2"/>
      <c r="I39" s="2"/>
      <c r="J39" s="2">
        <v>1415.6956</v>
      </c>
      <c r="K39" s="2">
        <v>1415.6956</v>
      </c>
      <c r="L39" s="2">
        <v>1415.6956</v>
      </c>
      <c r="M39" s="2">
        <v>1415.6956</v>
      </c>
      <c r="N39" s="2">
        <v>1415.6956</v>
      </c>
      <c r="O39" s="2">
        <v>0</v>
      </c>
      <c r="P39" s="9"/>
      <c r="Q39" s="2">
        <f>SUM(OSRRefD21_1_6x)+IFERROR(SUM(OSRRefE21_1_6x),0)</f>
        <v>7078.4780000000001</v>
      </c>
    </row>
    <row r="40" spans="1:17" s="35" customFormat="1" hidden="1" outlineLevel="1" x14ac:dyDescent="0.3">
      <c r="A40" s="34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/>
      <c r="H40" s="2"/>
      <c r="I40" s="2"/>
      <c r="J40" s="2">
        <v>5565.2197999999999</v>
      </c>
      <c r="K40" s="2">
        <v>11348.3986</v>
      </c>
      <c r="L40" s="2">
        <v>10767.1746</v>
      </c>
      <c r="M40" s="2">
        <v>10767.1746</v>
      </c>
      <c r="N40" s="2">
        <v>5623.3422</v>
      </c>
      <c r="O40" s="2">
        <v>0</v>
      </c>
      <c r="P40" s="9"/>
      <c r="Q40" s="2">
        <f>SUM(OSRRefD21_1_7x)+IFERROR(SUM(OSRRefE21_1_7x),0)</f>
        <v>44071.309799999995</v>
      </c>
    </row>
    <row r="41" spans="1:17" s="35" customFormat="1" hidden="1" outlineLevel="1" x14ac:dyDescent="0.3">
      <c r="A41" s="34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">
      <c r="A42" s="34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">
      <c r="A43" s="34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249.32</v>
      </c>
      <c r="E43" s="1">
        <f>SUM(OSRRefD21_2x_1)</f>
        <v>4.5</v>
      </c>
      <c r="F43" s="1">
        <f>SUM(OSRRefD21_2x_2)</f>
        <v>0</v>
      </c>
      <c r="G43" s="1">
        <f>SUM(OSRRefD21_2x_3)</f>
        <v>0</v>
      </c>
      <c r="H43" s="1">
        <f>SUM(OSRRefD21_2x_4)</f>
        <v>9.76</v>
      </c>
      <c r="I43" s="1">
        <f>SUM(OSRRefD21_2x_5)</f>
        <v>0</v>
      </c>
      <c r="J43" s="1">
        <f>SUM(OSRRefE21_2x_0)</f>
        <v>0</v>
      </c>
      <c r="K43" s="1">
        <f>SUM(OSRRefE21_2x_1)</f>
        <v>0</v>
      </c>
      <c r="L43" s="1">
        <f>SUM(OSRRefE21_2x_2)</f>
        <v>0</v>
      </c>
      <c r="M43" s="1">
        <f>SUM(OSRRefE21_2x_3)</f>
        <v>0</v>
      </c>
      <c r="N43" s="1">
        <f>SUM(OSRRefE21_2x_4)</f>
        <v>0</v>
      </c>
      <c r="O43" s="1">
        <f>SUM(OSRRefE21_2x_5)</f>
        <v>0</v>
      </c>
      <c r="Q43" s="2">
        <f>SUM(OSRRefD20_2x)+IFERROR(SUM(OSRRefE20_2x),0)</f>
        <v>263.58</v>
      </c>
    </row>
    <row r="44" spans="1:17" s="35" customFormat="1" hidden="1" outlineLevel="1" x14ac:dyDescent="0.3">
      <c r="A44" s="34"/>
      <c r="B44" s="10" t="str">
        <f>CONCATENATE("          ","6362", " - ","ADVERTISING EXPENSE")</f>
        <v xml:space="preserve">          6362 - ADVERTISING EXPENSE</v>
      </c>
      <c r="C44" s="14"/>
      <c r="D44" s="2">
        <v>249.32</v>
      </c>
      <c r="E44" s="2">
        <v>4.5</v>
      </c>
      <c r="F44" s="2"/>
      <c r="G44" s="2"/>
      <c r="H44" s="2">
        <v>9.76</v>
      </c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263.58</v>
      </c>
    </row>
    <row r="45" spans="1:17" s="35" customFormat="1" collapsed="1" x14ac:dyDescent="0.3">
      <c r="A45" s="34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0.1</v>
      </c>
      <c r="E45" s="1">
        <f>SUM(OSRRefD21_3x_1)</f>
        <v>0.27</v>
      </c>
      <c r="F45" s="1">
        <f>SUM(OSRRefD21_3x_2)</f>
        <v>0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SUM(OSRRefE21_3x_0)</f>
        <v>3026</v>
      </c>
      <c r="K45" s="1">
        <f>SUM(OSRRefE21_3x_1)</f>
        <v>6738</v>
      </c>
      <c r="L45" s="1">
        <f>SUM(OSRRefE21_3x_2)</f>
        <v>6529</v>
      </c>
      <c r="M45" s="1">
        <f>SUM(OSRRefE21_3x_3)</f>
        <v>7226</v>
      </c>
      <c r="N45" s="1">
        <f>SUM(OSRRefE21_3x_4)</f>
        <v>4473</v>
      </c>
      <c r="O45" s="1">
        <f>SUM(OSRRefE21_3x_5)</f>
        <v>1745</v>
      </c>
      <c r="Q45" s="2">
        <f>SUM(OSRRefD20_3x)+IFERROR(SUM(OSRRefE20_3x),0)</f>
        <v>29737.37</v>
      </c>
    </row>
    <row r="46" spans="1:17" s="35" customFormat="1" hidden="1" outlineLevel="1" x14ac:dyDescent="0.3">
      <c r="A46" s="34"/>
      <c r="B46" s="10" t="str">
        <f>CONCATENATE("          ","6381", " - ","BANK/CREDIT CARD FEES")</f>
        <v xml:space="preserve">          6381 - BANK/CREDIT CARD FEES</v>
      </c>
      <c r="C46" s="14"/>
      <c r="D46" s="2">
        <v>0.1</v>
      </c>
      <c r="E46" s="2">
        <v>0.27</v>
      </c>
      <c r="F46" s="2"/>
      <c r="G46" s="2"/>
      <c r="H46" s="2"/>
      <c r="I46" s="2"/>
      <c r="J46" s="2">
        <v>3026</v>
      </c>
      <c r="K46" s="2">
        <v>6738</v>
      </c>
      <c r="L46" s="2">
        <v>6529</v>
      </c>
      <c r="M46" s="2">
        <v>7226</v>
      </c>
      <c r="N46" s="2">
        <v>4473</v>
      </c>
      <c r="O46" s="2">
        <v>1745</v>
      </c>
      <c r="P46" s="9"/>
      <c r="Q46" s="2">
        <f>SUM(OSRRefD21_3_0x)+IFERROR(SUM(OSRRefE21_3_0x),0)</f>
        <v>29737.37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6745.15</v>
      </c>
      <c r="E47" s="1">
        <f>SUM(OSRRefD21_4x_1)</f>
        <v>6745.15</v>
      </c>
      <c r="F47" s="1">
        <f>SUM(OSRRefD21_4x_2)</f>
        <v>6701.08</v>
      </c>
      <c r="G47" s="1">
        <f>SUM(OSRRefD21_4x_3)</f>
        <v>6701.08</v>
      </c>
      <c r="H47" s="1">
        <f>SUM(OSRRefD21_4x_4)</f>
        <v>6701.08</v>
      </c>
      <c r="I47" s="1">
        <f>SUM(OSRRefD21_4x_5)</f>
        <v>6701.08</v>
      </c>
      <c r="J47" s="1">
        <f>SUM(OSRRefE21_4x_0)</f>
        <v>6701</v>
      </c>
      <c r="K47" s="1">
        <f>SUM(OSRRefE21_4x_1)</f>
        <v>6701</v>
      </c>
      <c r="L47" s="1">
        <f>SUM(OSRRefE21_4x_2)</f>
        <v>6701</v>
      </c>
      <c r="M47" s="1">
        <f>SUM(OSRRefE21_4x_3)</f>
        <v>6701</v>
      </c>
      <c r="N47" s="1">
        <f>SUM(OSRRefE21_4x_4)</f>
        <v>6701</v>
      </c>
      <c r="O47" s="1">
        <f>SUM(OSRRefE21_4x_5)</f>
        <v>6701</v>
      </c>
      <c r="Q47" s="2">
        <f>SUM(OSRRefD20_4x)+IFERROR(SUM(OSRRefE20_4x),0)</f>
        <v>80500.62</v>
      </c>
    </row>
    <row r="48" spans="1:17" s="35" customFormat="1" hidden="1" outlineLevel="1" x14ac:dyDescent="0.3">
      <c r="A48" s="34"/>
      <c r="B48" s="10" t="str">
        <f>CONCATENATE("          ","6321", " - ","BUILDING DEPRECIATION")</f>
        <v xml:space="preserve">          6321 - BUILDING DEPRECIATION</v>
      </c>
      <c r="C48" s="14"/>
      <c r="D48" s="2">
        <v>6537.03</v>
      </c>
      <c r="E48" s="2">
        <v>6537.03</v>
      </c>
      <c r="F48" s="2">
        <v>6492.96</v>
      </c>
      <c r="G48" s="2">
        <v>6492.96</v>
      </c>
      <c r="H48" s="2">
        <v>6492.96</v>
      </c>
      <c r="I48" s="2">
        <v>6492.96</v>
      </c>
      <c r="J48" s="2"/>
      <c r="K48" s="2"/>
      <c r="L48" s="2"/>
      <c r="M48" s="2"/>
      <c r="N48" s="2"/>
      <c r="O48" s="2"/>
      <c r="P48" s="9"/>
      <c r="Q48" s="2">
        <f>SUM(OSRRefD21_4_0x)+IFERROR(SUM(OSRRefE21_4_0x),0)</f>
        <v>39045.9</v>
      </c>
    </row>
    <row r="49" spans="1:17" s="35" customFormat="1" hidden="1" outlineLevel="1" x14ac:dyDescent="0.3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208.12</v>
      </c>
      <c r="E49" s="2">
        <v>208.12</v>
      </c>
      <c r="F49" s="2">
        <v>208.12</v>
      </c>
      <c r="G49" s="2">
        <v>208.12</v>
      </c>
      <c r="H49" s="2">
        <v>208.12</v>
      </c>
      <c r="I49" s="2">
        <v>208.12</v>
      </c>
      <c r="J49" s="2">
        <v>6701</v>
      </c>
      <c r="K49" s="2">
        <v>6701</v>
      </c>
      <c r="L49" s="2">
        <v>6701</v>
      </c>
      <c r="M49" s="2">
        <v>6701</v>
      </c>
      <c r="N49" s="2">
        <v>6701</v>
      </c>
      <c r="O49" s="2">
        <v>6701</v>
      </c>
      <c r="P49" s="9"/>
      <c r="Q49" s="2">
        <f>SUM(OSRRefD21_4_1x)+IFERROR(SUM(OSRRefE21_4_1x),0)</f>
        <v>41454.720000000001</v>
      </c>
    </row>
    <row r="50" spans="1:17" s="35" customFormat="1" collapsed="1" x14ac:dyDescent="0.3">
      <c r="A50" s="34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49.95</v>
      </c>
      <c r="H50" s="1">
        <f>SUM(OSRRefD21_5x_4)</f>
        <v>0</v>
      </c>
      <c r="I50" s="1">
        <f>SUM(OSRRefD21_5x_5)</f>
        <v>0</v>
      </c>
      <c r="J50" s="1">
        <f>SUM(OSRRefE21_5x_0)</f>
        <v>0</v>
      </c>
      <c r="K50" s="1">
        <f>SUM(OSRRefE21_5x_1)</f>
        <v>0</v>
      </c>
      <c r="L50" s="1">
        <f>SUM(OSRRefE21_5x_2)</f>
        <v>20</v>
      </c>
      <c r="M50" s="1">
        <f>SUM(OSRRefE21_5x_3)</f>
        <v>20</v>
      </c>
      <c r="N50" s="1">
        <f>SUM(OSRRefE21_5x_4)</f>
        <v>20</v>
      </c>
      <c r="O50" s="1">
        <f>SUM(OSRRefE21_5x_5)</f>
        <v>0</v>
      </c>
      <c r="Q50" s="2">
        <f>SUM(OSRRefD20_5x)+IFERROR(SUM(OSRRefE20_5x),0)</f>
        <v>109.95</v>
      </c>
    </row>
    <row r="51" spans="1:17" s="35" customFormat="1" hidden="1" outlineLevel="1" x14ac:dyDescent="0.3">
      <c r="A51" s="34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/>
      <c r="G51" s="2">
        <v>49.95</v>
      </c>
      <c r="H51" s="2"/>
      <c r="I51" s="2"/>
      <c r="J51" s="2"/>
      <c r="K51" s="2"/>
      <c r="L51" s="2">
        <v>20</v>
      </c>
      <c r="M51" s="2">
        <v>20</v>
      </c>
      <c r="N51" s="2">
        <v>20</v>
      </c>
      <c r="O51" s="2"/>
      <c r="P51" s="9"/>
      <c r="Q51" s="2">
        <f>SUM(OSRRefD21_5_0x)+IFERROR(SUM(OSRRefE21_5_0x),0)</f>
        <v>109.95</v>
      </c>
    </row>
    <row r="52" spans="1:17" s="35" customFormat="1" collapsed="1" x14ac:dyDescent="0.3">
      <c r="A52" s="34"/>
      <c r="B52" s="14" t="str">
        <f>CONCATENATE("     ","Equipment Rental                                  ")</f>
        <v xml:space="preserve">     Equipment Rental                                  </v>
      </c>
      <c r="C52" s="14"/>
      <c r="D52" s="1">
        <f>SUM(OSRRefD21_6x_0)</f>
        <v>215.47</v>
      </c>
      <c r="E52" s="1">
        <f>SUM(OSRRefD21_6x_1)</f>
        <v>819.39</v>
      </c>
      <c r="F52" s="1">
        <f>SUM(OSRRefD21_6x_2)</f>
        <v>0</v>
      </c>
      <c r="G52" s="1">
        <f>SUM(OSRRefD21_6x_3)</f>
        <v>665.72</v>
      </c>
      <c r="H52" s="1">
        <f>SUM(OSRRefD21_6x_4)</f>
        <v>516.80999999999995</v>
      </c>
      <c r="I52" s="1">
        <f>SUM(OSRRefD21_6x_5)</f>
        <v>699.53</v>
      </c>
      <c r="J52" s="1">
        <f>SUM(OSRRefE21_6x_0)</f>
        <v>200</v>
      </c>
      <c r="K52" s="1">
        <f>SUM(OSRRefE21_6x_1)</f>
        <v>200</v>
      </c>
      <c r="L52" s="1">
        <f>SUM(OSRRefE21_6x_2)</f>
        <v>200</v>
      </c>
      <c r="M52" s="1">
        <f>SUM(OSRRefE21_6x_3)</f>
        <v>200</v>
      </c>
      <c r="N52" s="1">
        <f>SUM(OSRRefE21_6x_4)</f>
        <v>200</v>
      </c>
      <c r="O52" s="1">
        <f>SUM(OSRRefE21_6x_5)</f>
        <v>200</v>
      </c>
      <c r="Q52" s="2">
        <f>SUM(OSRRefD20_6x)+IFERROR(SUM(OSRRefE20_6x),0)</f>
        <v>4116.92</v>
      </c>
    </row>
    <row r="53" spans="1:17" s="35" customFormat="1" hidden="1" outlineLevel="1" x14ac:dyDescent="0.3">
      <c r="A53" s="34"/>
      <c r="B53" s="10" t="str">
        <f>CONCATENATE("          ","6351", " - ","EQUIPMENT RENTAL")</f>
        <v xml:space="preserve">          6351 - EQUIPMENT RENTAL</v>
      </c>
      <c r="C53" s="14"/>
      <c r="D53" s="2">
        <v>215.47</v>
      </c>
      <c r="E53" s="2">
        <v>819.39</v>
      </c>
      <c r="F53" s="2"/>
      <c r="G53" s="2">
        <v>665.72</v>
      </c>
      <c r="H53" s="2">
        <v>516.80999999999995</v>
      </c>
      <c r="I53" s="2">
        <v>699.53</v>
      </c>
      <c r="J53" s="2">
        <v>200</v>
      </c>
      <c r="K53" s="2">
        <v>200</v>
      </c>
      <c r="L53" s="2">
        <v>200</v>
      </c>
      <c r="M53" s="2">
        <v>200</v>
      </c>
      <c r="N53" s="2">
        <v>200</v>
      </c>
      <c r="O53" s="2">
        <v>200</v>
      </c>
      <c r="P53" s="9"/>
      <c r="Q53" s="2">
        <f>SUM(OSRRefD21_6_0x)+IFERROR(SUM(OSRRefE21_6_0x),0)</f>
        <v>4116.92</v>
      </c>
    </row>
    <row r="54" spans="1:17" s="35" customFormat="1" collapsed="1" x14ac:dyDescent="0.3">
      <c r="A54" s="34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SUM(OSRRefD21_7x_0)</f>
        <v>0</v>
      </c>
      <c r="E54" s="1">
        <f>SUM(OSRRefD21_7x_1)</f>
        <v>1314.55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0</v>
      </c>
      <c r="J54" s="1">
        <f>SUM(OSRRefE21_7x_0)</f>
        <v>250</v>
      </c>
      <c r="K54" s="1">
        <f>SUM(OSRRefE21_7x_1)</f>
        <v>0</v>
      </c>
      <c r="L54" s="1">
        <f>SUM(OSRRefE21_7x_2)</f>
        <v>250</v>
      </c>
      <c r="M54" s="1">
        <f>SUM(OSRRefE21_7x_3)</f>
        <v>0</v>
      </c>
      <c r="N54" s="1">
        <f>SUM(OSRRefE21_7x_4)</f>
        <v>0</v>
      </c>
      <c r="O54" s="1">
        <f>SUM(OSRRefE21_7x_5)</f>
        <v>0</v>
      </c>
      <c r="Q54" s="2">
        <f>SUM(OSRRefD20_7x)+IFERROR(SUM(OSRRefE20_7x),0)</f>
        <v>1814.55</v>
      </c>
    </row>
    <row r="55" spans="1:17" s="35" customFormat="1" hidden="1" outlineLevel="1" x14ac:dyDescent="0.3">
      <c r="A55" s="34"/>
      <c r="B55" s="10" t="str">
        <f>CONCATENATE("          ","6269", " - ","ENTERTAINMENT")</f>
        <v xml:space="preserve">          6269 - ENTERTAINMENT</v>
      </c>
      <c r="C55" s="14"/>
      <c r="D55" s="2"/>
      <c r="E55" s="2"/>
      <c r="F55" s="2"/>
      <c r="G55" s="2"/>
      <c r="H55" s="2"/>
      <c r="I55" s="2"/>
      <c r="J55" s="2">
        <v>250</v>
      </c>
      <c r="K55" s="2"/>
      <c r="L55" s="2">
        <v>250</v>
      </c>
      <c r="M55" s="2"/>
      <c r="N55" s="2"/>
      <c r="O55" s="2"/>
      <c r="P55" s="9"/>
      <c r="Q55" s="2">
        <f>SUM(OSRRefD21_7_0x)+IFERROR(SUM(OSRRefE21_7_0x),0)</f>
        <v>500</v>
      </c>
    </row>
    <row r="56" spans="1:17" s="35" customFormat="1" hidden="1" outlineLevel="1" x14ac:dyDescent="0.3">
      <c r="A56" s="34"/>
      <c r="B56" s="10" t="str">
        <f>CONCATENATE("          ","6279", " - ","GENERAL EXPENSE")</f>
        <v xml:space="preserve">          6279 - GENERAL EXPENSE</v>
      </c>
      <c r="C56" s="14"/>
      <c r="D56" s="2"/>
      <c r="E56" s="2">
        <v>1314.55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SUM(OSRRefD21_7_1x)+IFERROR(SUM(OSRRefE21_7_1x),0)</f>
        <v>1314.55</v>
      </c>
    </row>
    <row r="57" spans="1:17" s="35" customFormat="1" collapsed="1" x14ac:dyDescent="0.3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SUM(OSRRefD21_8x_0)</f>
        <v>951.47</v>
      </c>
      <c r="E57" s="1">
        <f>SUM(OSRRefD21_8x_1)</f>
        <v>1079.81</v>
      </c>
      <c r="F57" s="1">
        <f>SUM(OSRRefD21_8x_2)</f>
        <v>293.64</v>
      </c>
      <c r="G57" s="1">
        <f>SUM(OSRRefD21_8x_3)</f>
        <v>2110.12</v>
      </c>
      <c r="H57" s="1">
        <f>SUM(OSRRefD21_8x_4)</f>
        <v>1176.51</v>
      </c>
      <c r="I57" s="1">
        <f>SUM(OSRRefD21_8x_5)</f>
        <v>1952.51</v>
      </c>
      <c r="J57" s="1">
        <f>SUM(OSRRefE21_8x_0)</f>
        <v>1636</v>
      </c>
      <c r="K57" s="1">
        <f>SUM(OSRRefE21_8x_1)</f>
        <v>2529</v>
      </c>
      <c r="L57" s="1">
        <f>SUM(OSRRefE21_8x_2)</f>
        <v>2450</v>
      </c>
      <c r="M57" s="1">
        <f>SUM(OSRRefE21_8x_3)</f>
        <v>3212</v>
      </c>
      <c r="N57" s="1">
        <f>SUM(OSRRefE21_8x_4)</f>
        <v>1679</v>
      </c>
      <c r="O57" s="1">
        <f>SUM(OSRRefE21_8x_5)</f>
        <v>655</v>
      </c>
      <c r="Q57" s="2">
        <f>SUM(OSRRefD20_8x)+IFERROR(SUM(OSRRefE20_8x),0)</f>
        <v>19725.060000000001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/>
      <c r="E58" s="2"/>
      <c r="F58" s="2">
        <v>198.46</v>
      </c>
      <c r="G58" s="2">
        <v>1204.21</v>
      </c>
      <c r="H58" s="2">
        <v>612.6</v>
      </c>
      <c r="I58" s="2">
        <v>426.16</v>
      </c>
      <c r="J58" s="2">
        <v>500</v>
      </c>
      <c r="K58" s="2"/>
      <c r="L58" s="2"/>
      <c r="M58" s="2">
        <v>500</v>
      </c>
      <c r="N58" s="2"/>
      <c r="O58" s="2"/>
      <c r="P58" s="9"/>
      <c r="Q58" s="2">
        <f>SUM(OSRRefD21_8_0x)+IFERROR(SUM(OSRRefE21_8_0x),0)</f>
        <v>3441.43</v>
      </c>
    </row>
    <row r="59" spans="1:17" s="35" customFormat="1" hidden="1" outlineLevel="1" x14ac:dyDescent="0.3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951.47</v>
      </c>
      <c r="E59" s="2">
        <v>1079.81</v>
      </c>
      <c r="F59" s="2">
        <v>95.18</v>
      </c>
      <c r="G59" s="2">
        <v>905.91</v>
      </c>
      <c r="H59" s="2">
        <v>563.91</v>
      </c>
      <c r="I59" s="2">
        <v>1526.35</v>
      </c>
      <c r="J59" s="2">
        <v>1136</v>
      </c>
      <c r="K59" s="2">
        <v>2529</v>
      </c>
      <c r="L59" s="2">
        <v>2450</v>
      </c>
      <c r="M59" s="2">
        <v>2712</v>
      </c>
      <c r="N59" s="2">
        <v>1679</v>
      </c>
      <c r="O59" s="2">
        <v>655</v>
      </c>
      <c r="P59" s="9"/>
      <c r="Q59" s="2">
        <f>SUM(OSRRefD21_8_1x)+IFERROR(SUM(OSRRefE21_8_1x),0)</f>
        <v>16283.63</v>
      </c>
    </row>
    <row r="60" spans="1:17" s="35" customFormat="1" collapsed="1" x14ac:dyDescent="0.3">
      <c r="A60" s="34"/>
      <c r="B60" s="14" t="str">
        <f>CONCATENATE("     ","Services                                          ")</f>
        <v xml:space="preserve">     Services                                          </v>
      </c>
      <c r="C60" s="14"/>
      <c r="D60" s="1">
        <f>SUM(OSRRefD21_9x_0)</f>
        <v>0</v>
      </c>
      <c r="E60" s="1">
        <f>SUM(OSRRefD21_9x_1)</f>
        <v>260</v>
      </c>
      <c r="F60" s="1">
        <f>SUM(OSRRefD21_9x_2)</f>
        <v>0</v>
      </c>
      <c r="G60" s="1">
        <f>SUM(OSRRefD21_9x_3)</f>
        <v>0</v>
      </c>
      <c r="H60" s="1">
        <f>SUM(OSRRefD21_9x_4)</f>
        <v>0</v>
      </c>
      <c r="I60" s="1">
        <f>SUM(OSRRefD21_9x_5)</f>
        <v>0</v>
      </c>
      <c r="J60" s="1">
        <f>SUM(OSRRefE21_9x_0)</f>
        <v>3225</v>
      </c>
      <c r="K60" s="1">
        <f>SUM(OSRRefE21_9x_1)</f>
        <v>3225</v>
      </c>
      <c r="L60" s="1">
        <f>SUM(OSRRefE21_9x_2)</f>
        <v>3225</v>
      </c>
      <c r="M60" s="1">
        <f>SUM(OSRRefE21_9x_3)</f>
        <v>3225</v>
      </c>
      <c r="N60" s="1">
        <f>SUM(OSRRefE21_9x_4)</f>
        <v>3225</v>
      </c>
      <c r="O60" s="1">
        <f>SUM(OSRRefE21_9x_5)</f>
        <v>3200</v>
      </c>
      <c r="Q60" s="2">
        <f>SUM(OSRRefD20_9x)+IFERROR(SUM(OSRRefE20_9x),0)</f>
        <v>19585</v>
      </c>
    </row>
    <row r="61" spans="1:17" s="35" customFormat="1" hidden="1" outlineLevel="1" x14ac:dyDescent="0.3">
      <c r="A61" s="34"/>
      <c r="B61" s="10" t="str">
        <f>CONCATENATE("          ","6283", " - ","PLANT SERVICE")</f>
        <v xml:space="preserve">          6283 - PLANT SERVICE</v>
      </c>
      <c r="C61" s="14"/>
      <c r="D61" s="2"/>
      <c r="E61" s="2"/>
      <c r="F61" s="2"/>
      <c r="G61" s="2"/>
      <c r="H61" s="2"/>
      <c r="I61" s="2"/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SUM(OSRRefD21_9_0x)+IFERROR(SUM(OSRRefE21_9_0x),0)</f>
        <v>600</v>
      </c>
    </row>
    <row r="62" spans="1:17" s="35" customFormat="1" hidden="1" outlineLevel="1" x14ac:dyDescent="0.3">
      <c r="A62" s="34"/>
      <c r="B62" s="10" t="str">
        <f>CONCATENATE("          ","6285", " - ","JANITORIAL SERVICES")</f>
        <v xml:space="preserve">          6285 - JANITORIAL SERVICES</v>
      </c>
      <c r="C62" s="14"/>
      <c r="D62" s="2"/>
      <c r="E62" s="2">
        <v>260</v>
      </c>
      <c r="F62" s="2"/>
      <c r="G62" s="2"/>
      <c r="H62" s="2"/>
      <c r="I62" s="2"/>
      <c r="J62" s="2">
        <v>3100</v>
      </c>
      <c r="K62" s="2">
        <v>3100</v>
      </c>
      <c r="L62" s="2">
        <v>3100</v>
      </c>
      <c r="M62" s="2">
        <v>3100</v>
      </c>
      <c r="N62" s="2">
        <v>3100</v>
      </c>
      <c r="O62" s="2">
        <v>3100</v>
      </c>
      <c r="P62" s="9"/>
      <c r="Q62" s="2">
        <f>SUM(OSRRefD21_9_1x)+IFERROR(SUM(OSRRefE21_9_1x),0)</f>
        <v>18860</v>
      </c>
    </row>
    <row r="63" spans="1:17" s="35" customFormat="1" hidden="1" outlineLevel="1" x14ac:dyDescent="0.3">
      <c r="A63" s="34"/>
      <c r="B63" s="10" t="str">
        <f>CONCATENATE("          ","6286", " - ","LAUNDRY EXPENSE")</f>
        <v xml:space="preserve">          6286 - LAUNDRY EXPENSE</v>
      </c>
      <c r="C63" s="14"/>
      <c r="D63" s="2"/>
      <c r="E63" s="2"/>
      <c r="F63" s="2"/>
      <c r="G63" s="2"/>
      <c r="H63" s="2"/>
      <c r="I63" s="2"/>
      <c r="J63" s="2">
        <v>25</v>
      </c>
      <c r="K63" s="2">
        <v>25</v>
      </c>
      <c r="L63" s="2">
        <v>25</v>
      </c>
      <c r="M63" s="2">
        <v>25</v>
      </c>
      <c r="N63" s="2">
        <v>25</v>
      </c>
      <c r="O63" s="2"/>
      <c r="P63" s="9"/>
      <c r="Q63" s="2">
        <f>SUM(OSRRefD21_9_2x)+IFERROR(SUM(OSRRefE21_9_2x),0)</f>
        <v>125</v>
      </c>
    </row>
    <row r="64" spans="1:17" s="35" customFormat="1" collapsed="1" x14ac:dyDescent="0.3">
      <c r="A64" s="34"/>
      <c r="B64" s="14" t="str">
        <f>CONCATENATE("     ","Subscriptions &amp; Dues                              ")</f>
        <v xml:space="preserve">     Subscriptions &amp; Dues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204</v>
      </c>
      <c r="G64" s="1">
        <f>SUM(OSRRefD21_10x_3)</f>
        <v>189.71</v>
      </c>
      <c r="H64" s="1">
        <f>SUM(OSRRefD21_10x_4)</f>
        <v>196.96</v>
      </c>
      <c r="I64" s="1">
        <f>SUM(OSRRefD21_10x_5)</f>
        <v>635.53</v>
      </c>
      <c r="J64" s="1">
        <f>SUM(OSRRefE21_10x_0)</f>
        <v>200</v>
      </c>
      <c r="K64" s="1">
        <f>SUM(OSRRefE21_10x_1)</f>
        <v>200</v>
      </c>
      <c r="L64" s="1">
        <f>SUM(OSRRefE21_10x_2)</f>
        <v>200</v>
      </c>
      <c r="M64" s="1">
        <f>SUM(OSRRefE21_10x_3)</f>
        <v>200</v>
      </c>
      <c r="N64" s="1">
        <f>SUM(OSRRefE21_10x_4)</f>
        <v>200</v>
      </c>
      <c r="O64" s="1">
        <f>SUM(OSRRefE21_10x_5)</f>
        <v>200</v>
      </c>
      <c r="Q64" s="2">
        <f>SUM(OSRRefD20_10x)+IFERROR(SUM(OSRRefE20_10x),0)</f>
        <v>2426.1999999999998</v>
      </c>
    </row>
    <row r="65" spans="1:17" s="35" customFormat="1" hidden="1" outlineLevel="1" x14ac:dyDescent="0.3">
      <c r="A65" s="34"/>
      <c r="B65" s="10" t="str">
        <f>CONCATENATE("          ","6275", " - ","SUBSCRIPTIONS")</f>
        <v xml:space="preserve">          6275 - SUBSCRIPTIONS</v>
      </c>
      <c r="C65" s="14"/>
      <c r="D65" s="2"/>
      <c r="E65" s="2"/>
      <c r="F65" s="2">
        <v>204</v>
      </c>
      <c r="G65" s="2">
        <v>189.71</v>
      </c>
      <c r="H65" s="2">
        <v>196.96</v>
      </c>
      <c r="I65" s="2">
        <v>635.53</v>
      </c>
      <c r="J65" s="2">
        <v>200</v>
      </c>
      <c r="K65" s="2">
        <v>200</v>
      </c>
      <c r="L65" s="2">
        <v>200</v>
      </c>
      <c r="M65" s="2">
        <v>200</v>
      </c>
      <c r="N65" s="2">
        <v>200</v>
      </c>
      <c r="O65" s="2">
        <v>200</v>
      </c>
      <c r="P65" s="9"/>
      <c r="Q65" s="2">
        <f>SUM(OSRRefD21_10_0x)+IFERROR(SUM(OSRRefE21_10_0x),0)</f>
        <v>2426.1999999999998</v>
      </c>
    </row>
    <row r="66" spans="1:17" s="35" customFormat="1" collapsed="1" x14ac:dyDescent="0.3">
      <c r="A66" s="34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SUM(OSRRefD21_11x_0)</f>
        <v>77.16</v>
      </c>
      <c r="E66" s="1">
        <f>SUM(OSRRefD21_11x_1)</f>
        <v>866.38</v>
      </c>
      <c r="F66" s="1">
        <f>SUM(OSRRefD21_11x_2)</f>
        <v>0</v>
      </c>
      <c r="G66" s="1">
        <f>SUM(OSRRefD21_11x_3)</f>
        <v>1257.74</v>
      </c>
      <c r="H66" s="1">
        <f>SUM(OSRRefD21_11x_4)</f>
        <v>0</v>
      </c>
      <c r="I66" s="1">
        <f>SUM(OSRRefD21_11x_5)</f>
        <v>152.01</v>
      </c>
      <c r="J66" s="1">
        <f>SUM(OSRRefE21_11x_0)</f>
        <v>850</v>
      </c>
      <c r="K66" s="1">
        <f>SUM(OSRRefE21_11x_1)</f>
        <v>500</v>
      </c>
      <c r="L66" s="1">
        <f>SUM(OSRRefE21_11x_2)</f>
        <v>500</v>
      </c>
      <c r="M66" s="1">
        <f>SUM(OSRRefE21_11x_3)</f>
        <v>550</v>
      </c>
      <c r="N66" s="1">
        <f>SUM(OSRRefE21_11x_4)</f>
        <v>500</v>
      </c>
      <c r="O66" s="1">
        <f>SUM(OSRRefE21_11x_5)</f>
        <v>425</v>
      </c>
      <c r="Q66" s="2">
        <f>SUM(OSRRefD20_11x)+IFERROR(SUM(OSRRefE20_11x),0)</f>
        <v>5678.29</v>
      </c>
    </row>
    <row r="67" spans="1:17" s="35" customFormat="1" hidden="1" outlineLevel="1" x14ac:dyDescent="0.3">
      <c r="A67" s="34"/>
      <c r="B67" s="10" t="str">
        <f>CONCATENATE("          ","6235", " - ","COVID-19 EXPENSES")</f>
        <v xml:space="preserve">          6235 - COVID-19 EXPENSES</v>
      </c>
      <c r="C67" s="14"/>
      <c r="D67" s="2"/>
      <c r="E67" s="2"/>
      <c r="F67" s="2"/>
      <c r="G67" s="2"/>
      <c r="H67" s="2"/>
      <c r="I67" s="2"/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150</v>
      </c>
      <c r="P67" s="9"/>
      <c r="Q67" s="2">
        <f>SUM(OSRRefD21_11_0x)+IFERROR(SUM(OSRRefE21_11_0x),0)</f>
        <v>1025</v>
      </c>
    </row>
    <row r="68" spans="1:17" s="35" customFormat="1" hidden="1" outlineLevel="1" x14ac:dyDescent="0.3">
      <c r="A68" s="34"/>
      <c r="B68" s="10" t="str">
        <f>CONCATENATE("          ","6237", " - ","JANITORIAL SUPPLIES")</f>
        <v xml:space="preserve">          6237 - JANITORIAL SUPPLIES</v>
      </c>
      <c r="C68" s="14"/>
      <c r="D68" s="2"/>
      <c r="E68" s="2">
        <v>796.76</v>
      </c>
      <c r="F68" s="2"/>
      <c r="G68" s="2"/>
      <c r="H68" s="2"/>
      <c r="I68" s="2"/>
      <c r="J68" s="2">
        <v>75</v>
      </c>
      <c r="K68" s="2">
        <v>75</v>
      </c>
      <c r="L68" s="2">
        <v>75</v>
      </c>
      <c r="M68" s="2">
        <v>75</v>
      </c>
      <c r="N68" s="2">
        <v>75</v>
      </c>
      <c r="O68" s="2">
        <v>75</v>
      </c>
      <c r="P68" s="9"/>
      <c r="Q68" s="2">
        <f>SUM(OSRRefD21_11_1x)+IFERROR(SUM(OSRRefE21_11_1x),0)</f>
        <v>1246.76</v>
      </c>
    </row>
    <row r="69" spans="1:17" s="35" customFormat="1" hidden="1" outlineLevel="1" x14ac:dyDescent="0.3">
      <c r="A69" s="34"/>
      <c r="B69" s="10" t="str">
        <f>CONCATENATE("          ","6239", " - ","KITCHEN SUPPLIES")</f>
        <v xml:space="preserve">          6239 - KITCHEN SUPPLIES</v>
      </c>
      <c r="C69" s="14"/>
      <c r="D69" s="2"/>
      <c r="E69" s="2">
        <v>69.62</v>
      </c>
      <c r="F69" s="2"/>
      <c r="G69" s="2"/>
      <c r="H69" s="2"/>
      <c r="I69" s="2">
        <v>117.5</v>
      </c>
      <c r="J69" s="2"/>
      <c r="K69" s="2"/>
      <c r="L69" s="2"/>
      <c r="M69" s="2"/>
      <c r="N69" s="2"/>
      <c r="O69" s="2"/>
      <c r="P69" s="9"/>
      <c r="Q69" s="2">
        <f>SUM(OSRRefD21_11_2x)+IFERROR(SUM(OSRRefE21_11_2x),0)</f>
        <v>187.12</v>
      </c>
    </row>
    <row r="70" spans="1:17" s="35" customFormat="1" hidden="1" outlineLevel="1" x14ac:dyDescent="0.3">
      <c r="A70" s="34"/>
      <c r="B70" s="10" t="str">
        <f>CONCATENATE("          ","6241", " - ","OFFICE EXPENSE")</f>
        <v xml:space="preserve">          6241 - OFFICE EXPENSE</v>
      </c>
      <c r="C70" s="14"/>
      <c r="D70" s="2">
        <v>77.16</v>
      </c>
      <c r="E70" s="2"/>
      <c r="F70" s="2"/>
      <c r="G70" s="2">
        <v>781.55</v>
      </c>
      <c r="H70" s="2"/>
      <c r="I70" s="2">
        <v>34.51</v>
      </c>
      <c r="J70" s="2">
        <v>150</v>
      </c>
      <c r="K70" s="2"/>
      <c r="L70" s="2"/>
      <c r="M70" s="2"/>
      <c r="N70" s="2"/>
      <c r="O70" s="2"/>
      <c r="P70" s="9"/>
      <c r="Q70" s="2">
        <f>SUM(OSRRefD21_11_3x)+IFERROR(SUM(OSRRefE21_11_3x),0)</f>
        <v>1043.2199999999998</v>
      </c>
    </row>
    <row r="71" spans="1:17" s="35" customFormat="1" hidden="1" outlineLevel="1" x14ac:dyDescent="0.3">
      <c r="A71" s="34"/>
      <c r="B71" s="10" t="str">
        <f>CONCATENATE("          ","6243", " - ","PAPER SUPPLIES")</f>
        <v xml:space="preserve">          6243 - PAPER SUPPLIES</v>
      </c>
      <c r="C71" s="14"/>
      <c r="D71" s="2"/>
      <c r="E71" s="2"/>
      <c r="F71" s="2"/>
      <c r="G71" s="2">
        <v>138.19</v>
      </c>
      <c r="H71" s="2"/>
      <c r="I71" s="2"/>
      <c r="J71" s="2">
        <v>200</v>
      </c>
      <c r="K71" s="2">
        <v>200</v>
      </c>
      <c r="L71" s="2">
        <v>200</v>
      </c>
      <c r="M71" s="2">
        <v>200</v>
      </c>
      <c r="N71" s="2">
        <v>200</v>
      </c>
      <c r="O71" s="2">
        <v>150</v>
      </c>
      <c r="P71" s="9"/>
      <c r="Q71" s="2">
        <f>SUM(OSRRefD21_11_4x)+IFERROR(SUM(OSRRefE21_11_4x),0)</f>
        <v>1288.19</v>
      </c>
    </row>
    <row r="72" spans="1:17" s="35" customFormat="1" hidden="1" outlineLevel="1" x14ac:dyDescent="0.3">
      <c r="A72" s="34"/>
      <c r="B72" s="10" t="str">
        <f>CONCATENATE("          ","6244", " - ","SAFETY SUPPLY EXPENSE")</f>
        <v xml:space="preserve">          6244 - SAFETY SUPPLY EXPENSE</v>
      </c>
      <c r="C72" s="14"/>
      <c r="D72" s="2"/>
      <c r="E72" s="2"/>
      <c r="F72" s="2"/>
      <c r="G72" s="2"/>
      <c r="H72" s="2"/>
      <c r="I72" s="2"/>
      <c r="J72" s="2"/>
      <c r="K72" s="2"/>
      <c r="L72" s="2"/>
      <c r="M72" s="2">
        <v>50</v>
      </c>
      <c r="N72" s="2"/>
      <c r="O72" s="2"/>
      <c r="P72" s="9"/>
      <c r="Q72" s="2">
        <f>SUM(OSRRefD21_11_5x)+IFERROR(SUM(OSRRefE21_11_5x),0)</f>
        <v>50</v>
      </c>
    </row>
    <row r="73" spans="1:17" s="35" customFormat="1" hidden="1" outlineLevel="1" x14ac:dyDescent="0.3">
      <c r="A73" s="34"/>
      <c r="B73" s="10" t="str">
        <f>CONCATENATE("          ","6245", " - ","PRINTING")</f>
        <v xml:space="preserve">          6245 - PRINTING</v>
      </c>
      <c r="C73" s="14"/>
      <c r="D73" s="2"/>
      <c r="E73" s="2"/>
      <c r="F73" s="2"/>
      <c r="G73" s="2">
        <v>338</v>
      </c>
      <c r="H73" s="2"/>
      <c r="I73" s="2"/>
      <c r="J73" s="2">
        <v>250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SUM(OSRRefD21_11_6x)+IFERROR(SUM(OSRRefE21_11_6x),0)</f>
        <v>838</v>
      </c>
    </row>
    <row r="74" spans="1:17" s="35" customFormat="1" collapsed="1" x14ac:dyDescent="0.3">
      <c r="A74" s="34"/>
      <c r="B74" s="14" t="str">
        <f>CONCATENATE("     ","Telephone/Data Lines                              ")</f>
        <v xml:space="preserve">     Telephone/Data Lines                              </v>
      </c>
      <c r="C74" s="14"/>
      <c r="D74" s="1">
        <f>SUM(OSRRefD21_12x_0)</f>
        <v>75</v>
      </c>
      <c r="E74" s="1">
        <f>SUM(OSRRefD21_12x_1)</f>
        <v>0</v>
      </c>
      <c r="F74" s="1">
        <f>SUM(OSRRefD21_12x_2)</f>
        <v>0</v>
      </c>
      <c r="G74" s="1">
        <f>SUM(OSRRefD21_12x_3)</f>
        <v>0</v>
      </c>
      <c r="H74" s="1">
        <f>SUM(OSRRefD21_12x_4)</f>
        <v>0</v>
      </c>
      <c r="I74" s="1">
        <f>SUM(OSRRefD21_12x_5)</f>
        <v>0</v>
      </c>
      <c r="J74" s="1">
        <f>SUM(OSRRefE21_12x_0)</f>
        <v>225</v>
      </c>
      <c r="K74" s="1">
        <f>SUM(OSRRefE21_12x_1)</f>
        <v>75</v>
      </c>
      <c r="L74" s="1">
        <f>SUM(OSRRefE21_12x_2)</f>
        <v>75</v>
      </c>
      <c r="M74" s="1">
        <f>SUM(OSRRefE21_12x_3)</f>
        <v>75</v>
      </c>
      <c r="N74" s="1">
        <f>SUM(OSRRefE21_12x_4)</f>
        <v>225</v>
      </c>
      <c r="O74" s="1">
        <f>SUM(OSRRefE21_12x_5)</f>
        <v>75</v>
      </c>
      <c r="Q74" s="2">
        <f>SUM(OSRRefD20_12x)+IFERROR(SUM(OSRRefE20_12x),0)</f>
        <v>825</v>
      </c>
    </row>
    <row r="75" spans="1:17" s="35" customFormat="1" hidden="1" outlineLevel="1" x14ac:dyDescent="0.3">
      <c r="A75" s="34"/>
      <c r="B75" s="10" t="str">
        <f>CONCATENATE("          ","6303", " - ","DATA PHONE LINES")</f>
        <v xml:space="preserve">          6303 - DATA PHONE LINES</v>
      </c>
      <c r="C75" s="14"/>
      <c r="D75" s="2"/>
      <c r="E75" s="2"/>
      <c r="F75" s="2"/>
      <c r="G75" s="2"/>
      <c r="H75" s="2"/>
      <c r="I75" s="2"/>
      <c r="J75" s="2">
        <v>75</v>
      </c>
      <c r="K75" s="2">
        <v>75</v>
      </c>
      <c r="L75" s="2">
        <v>75</v>
      </c>
      <c r="M75" s="2">
        <v>75</v>
      </c>
      <c r="N75" s="2">
        <v>75</v>
      </c>
      <c r="O75" s="2">
        <v>75</v>
      </c>
      <c r="P75" s="9"/>
      <c r="Q75" s="2">
        <f>SUM(OSRRefD21_12_0x)+IFERROR(SUM(OSRRefE21_12_0x),0)</f>
        <v>450</v>
      </c>
    </row>
    <row r="76" spans="1:17" s="35" customFormat="1" hidden="1" outlineLevel="1" x14ac:dyDescent="0.3">
      <c r="A76" s="34"/>
      <c r="B76" s="10" t="str">
        <f>CONCATENATE("          ","6309", " - ","TELEPHONE")</f>
        <v xml:space="preserve">          6309 - TELEPHONE</v>
      </c>
      <c r="C76" s="14"/>
      <c r="D76" s="2">
        <v>75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150</v>
      </c>
      <c r="K76" s="2"/>
      <c r="L76" s="2"/>
      <c r="M76" s="2"/>
      <c r="N76" s="2">
        <v>150</v>
      </c>
      <c r="O76" s="2"/>
      <c r="P76" s="9"/>
      <c r="Q76" s="2">
        <f>SUM(OSRRefD21_12_1x)+IFERROR(SUM(OSRRefE21_12_1x),0)</f>
        <v>375</v>
      </c>
    </row>
    <row r="77" spans="1:17" s="35" customFormat="1" collapsed="1" x14ac:dyDescent="0.3">
      <c r="A77" s="34"/>
      <c r="B77" s="14" t="str">
        <f>CONCATENATE("     ","Training                                          ")</f>
        <v xml:space="preserve">     Training                                          </v>
      </c>
      <c r="C77" s="14"/>
      <c r="D77" s="1">
        <f>SUM(OSRRefD21_13x_0)</f>
        <v>0</v>
      </c>
      <c r="E77" s="1">
        <f>SUM(OSRRefD21_13x_1)</f>
        <v>0</v>
      </c>
      <c r="F77" s="1">
        <f>SUM(OSRRefD21_13x_2)</f>
        <v>0</v>
      </c>
      <c r="G77" s="1">
        <f>SUM(OSRRefD21_13x_3)</f>
        <v>0</v>
      </c>
      <c r="H77" s="1">
        <f>SUM(OSRRefD21_13x_4)</f>
        <v>0</v>
      </c>
      <c r="I77" s="1">
        <f>SUM(OSRRefD21_13x_5)</f>
        <v>0</v>
      </c>
      <c r="J77" s="1">
        <f>SUM(OSRRefE21_13x_0)</f>
        <v>200</v>
      </c>
      <c r="K77" s="1">
        <f>SUM(OSRRefE21_13x_1)</f>
        <v>0</v>
      </c>
      <c r="L77" s="1">
        <f>SUM(OSRRefE21_13x_2)</f>
        <v>0</v>
      </c>
      <c r="M77" s="1">
        <f>SUM(OSRRefE21_13x_3)</f>
        <v>0</v>
      </c>
      <c r="N77" s="1">
        <f>SUM(OSRRefE21_13x_4)</f>
        <v>0</v>
      </c>
      <c r="O77" s="1">
        <f>SUM(OSRRefE21_13x_5)</f>
        <v>0</v>
      </c>
      <c r="Q77" s="2">
        <f>SUM(OSRRefD20_13x)+IFERROR(SUM(OSRRefE20_13x),0)</f>
        <v>200</v>
      </c>
    </row>
    <row r="78" spans="1:17" s="35" customFormat="1" hidden="1" outlineLevel="1" x14ac:dyDescent="0.3">
      <c r="A78" s="34"/>
      <c r="B78" s="10" t="str">
        <f>CONCATENATE("          ","6376", " - ","TRAINING")</f>
        <v xml:space="preserve">          6376 - TRAINING</v>
      </c>
      <c r="C78" s="14"/>
      <c r="D78" s="2"/>
      <c r="E78" s="2"/>
      <c r="F78" s="2"/>
      <c r="G78" s="2"/>
      <c r="H78" s="2"/>
      <c r="I78" s="2"/>
      <c r="J78" s="2">
        <v>200</v>
      </c>
      <c r="K78" s="2"/>
      <c r="L78" s="2"/>
      <c r="M78" s="2"/>
      <c r="N78" s="2"/>
      <c r="O78" s="2"/>
      <c r="P78" s="9"/>
      <c r="Q78" s="2">
        <f>SUM(OSRRefD21_13_0x)+IFERROR(SUM(OSRRefE21_13_0x),0)</f>
        <v>200</v>
      </c>
    </row>
    <row r="79" spans="1:17" s="35" customFormat="1" collapsed="1" x14ac:dyDescent="0.3">
      <c r="A79" s="34"/>
      <c r="B79" s="14" t="str">
        <f>CONCATENATE("     ","Travel                                            ")</f>
        <v xml:space="preserve">     Travel                                            </v>
      </c>
      <c r="C79" s="14"/>
      <c r="D79" s="1">
        <f>SUM(OSRRefD21_14x_0)</f>
        <v>0</v>
      </c>
      <c r="E79" s="1">
        <f>SUM(OSRRefD21_14x_1)</f>
        <v>0</v>
      </c>
      <c r="F79" s="1">
        <f>SUM(OSRRefD21_14x_2)</f>
        <v>0</v>
      </c>
      <c r="G79" s="1">
        <f>SUM(OSRRefD21_14x_3)</f>
        <v>0</v>
      </c>
      <c r="H79" s="1">
        <f>SUM(OSRRefD21_14x_4)</f>
        <v>0</v>
      </c>
      <c r="I79" s="1">
        <f>SUM(OSRRefD21_14x_5)</f>
        <v>0</v>
      </c>
      <c r="J79" s="1">
        <f>SUM(OSRRefE21_14x_0)</f>
        <v>0</v>
      </c>
      <c r="K79" s="1">
        <f>SUM(OSRRefE21_14x_1)</f>
        <v>0</v>
      </c>
      <c r="L79" s="1">
        <f>SUM(OSRRefE21_14x_2)</f>
        <v>600</v>
      </c>
      <c r="M79" s="1">
        <f>SUM(OSRRefE21_14x_3)</f>
        <v>0</v>
      </c>
      <c r="N79" s="1">
        <f>SUM(OSRRefE21_14x_4)</f>
        <v>0</v>
      </c>
      <c r="O79" s="1">
        <f>SUM(OSRRefE21_14x_5)</f>
        <v>0</v>
      </c>
      <c r="Q79" s="2">
        <f>SUM(OSRRefD20_14x)+IFERROR(SUM(OSRRefE20_14x),0)</f>
        <v>600</v>
      </c>
    </row>
    <row r="80" spans="1:17" s="35" customFormat="1" hidden="1" outlineLevel="1" x14ac:dyDescent="0.3">
      <c r="A80" s="34"/>
      <c r="B80" s="10" t="str">
        <f>CONCATENATE("          ","6292", " - ","TRAVEL/CONFERENCE")</f>
        <v xml:space="preserve">          6292 - TRAVEL/CONFERENCE</v>
      </c>
      <c r="C80" s="14"/>
      <c r="D80" s="2"/>
      <c r="E80" s="2"/>
      <c r="F80" s="2"/>
      <c r="G80" s="2"/>
      <c r="H80" s="2"/>
      <c r="I80" s="2"/>
      <c r="J80" s="2"/>
      <c r="K80" s="2"/>
      <c r="L80" s="2">
        <v>600</v>
      </c>
      <c r="M80" s="2"/>
      <c r="N80" s="2"/>
      <c r="O80" s="2"/>
      <c r="P80" s="9"/>
      <c r="Q80" s="2">
        <f>SUM(OSRRefD21_14_0x)+IFERROR(SUM(OSRRefE21_14_0x),0)</f>
        <v>600</v>
      </c>
    </row>
    <row r="81" spans="1:17" s="35" customFormat="1" collapsed="1" x14ac:dyDescent="0.3">
      <c r="A81" s="34"/>
      <c r="B81" s="14" t="str">
        <f>CONCATENATE("     ","Utilities                                         ")</f>
        <v xml:space="preserve">     Utilities                                         </v>
      </c>
      <c r="C81" s="14"/>
      <c r="D81" s="1">
        <f>SUM(OSRRefD21_15x_0)</f>
        <v>0</v>
      </c>
      <c r="E81" s="1">
        <f>SUM(OSRRefD21_15x_1)</f>
        <v>0</v>
      </c>
      <c r="F81" s="1">
        <f>SUM(OSRRefD21_15x_2)</f>
        <v>0</v>
      </c>
      <c r="G81" s="1">
        <f>SUM(OSRRefD21_15x_3)</f>
        <v>0</v>
      </c>
      <c r="H81" s="1">
        <f>SUM(OSRRefD21_15x_4)</f>
        <v>0</v>
      </c>
      <c r="I81" s="1">
        <f>SUM(OSRRefD21_15x_5)</f>
        <v>0</v>
      </c>
      <c r="J81" s="1">
        <f>SUM(OSRRefE21_15x_0)</f>
        <v>500</v>
      </c>
      <c r="K81" s="1">
        <f>SUM(OSRRefE21_15x_1)</f>
        <v>500</v>
      </c>
      <c r="L81" s="1">
        <f>SUM(OSRRefE21_15x_2)</f>
        <v>500</v>
      </c>
      <c r="M81" s="1">
        <f>SUM(OSRRefE21_15x_3)</f>
        <v>500</v>
      </c>
      <c r="N81" s="1">
        <f>SUM(OSRRefE21_15x_4)</f>
        <v>500</v>
      </c>
      <c r="O81" s="1">
        <f>SUM(OSRRefE21_15x_5)</f>
        <v>500</v>
      </c>
      <c r="Q81" s="2">
        <f>SUM(OSRRefD20_15x)+IFERROR(SUM(OSRRefE20_15x),0)</f>
        <v>3000</v>
      </c>
    </row>
    <row r="82" spans="1:17" s="35" customFormat="1" hidden="1" outlineLevel="1" x14ac:dyDescent="0.3">
      <c r="A82" s="34"/>
      <c r="B82" s="10" t="str">
        <f>CONCATENATE("          ","6274", " - ","UTILITIES")</f>
        <v xml:space="preserve">          6274 - UTILITIES</v>
      </c>
      <c r="C82" s="14"/>
      <c r="D82" s="2"/>
      <c r="E82" s="2"/>
      <c r="F82" s="2"/>
      <c r="G82" s="2"/>
      <c r="H82" s="2"/>
      <c r="I82" s="2"/>
      <c r="J82" s="2">
        <v>500</v>
      </c>
      <c r="K82" s="2">
        <v>500</v>
      </c>
      <c r="L82" s="2">
        <v>500</v>
      </c>
      <c r="M82" s="2">
        <v>500</v>
      </c>
      <c r="N82" s="2">
        <v>500</v>
      </c>
      <c r="O82" s="2">
        <v>500</v>
      </c>
      <c r="P82" s="9"/>
      <c r="Q82" s="2">
        <f>SUM(OSRRefD21_15_0x)+IFERROR(SUM(OSRRefE21_15_0x),0)</f>
        <v>3000</v>
      </c>
    </row>
    <row r="83" spans="1:17" s="29" customFormat="1" x14ac:dyDescent="0.3">
      <c r="A83" s="21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s="9" customFormat="1" x14ac:dyDescent="0.3">
      <c r="A84" s="23"/>
      <c r="B84" s="16" t="s">
        <v>293</v>
      </c>
      <c r="C84" s="22"/>
      <c r="D84" s="3">
        <f t="shared" ref="D84:F84" si="3">0</f>
        <v>0</v>
      </c>
      <c r="E84" s="3">
        <f t="shared" si="3"/>
        <v>0</v>
      </c>
      <c r="F84" s="3">
        <f t="shared" si="3"/>
        <v>0</v>
      </c>
      <c r="G84" s="3">
        <f>--341.5</f>
        <v>341.5</v>
      </c>
      <c r="H84" s="3">
        <f t="shared" ref="H84:I84" si="4">0</f>
        <v>0</v>
      </c>
      <c r="I84" s="3">
        <f t="shared" si="4"/>
        <v>0</v>
      </c>
      <c r="J84" s="3"/>
      <c r="K84" s="3"/>
      <c r="L84" s="3"/>
      <c r="M84" s="3"/>
      <c r="N84" s="3"/>
      <c r="O84" s="3"/>
      <c r="Q84" s="2">
        <f>SUM(OSRRefD23_0x)+IFERROR(SUM(OSRRefE23_0x),0)</f>
        <v>341.5</v>
      </c>
    </row>
    <row r="85" spans="1:17" x14ac:dyDescent="0.3">
      <c r="A85" s="5"/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6"/>
      <c r="B86" s="17" t="s">
        <v>276</v>
      </c>
      <c r="C86" s="17"/>
      <c r="D86" s="7">
        <f t="shared" ref="D86:O86" si="5">IFERROR(+D18-D21+D84, 0)</f>
        <v>-21761.300000000003</v>
      </c>
      <c r="E86" s="7">
        <f t="shared" si="5"/>
        <v>-24730.71</v>
      </c>
      <c r="F86" s="7">
        <f t="shared" si="5"/>
        <v>-14035.579999999998</v>
      </c>
      <c r="G86" s="7">
        <f t="shared" si="5"/>
        <v>-14190.6</v>
      </c>
      <c r="H86" s="7">
        <f t="shared" si="5"/>
        <v>-10905.939999999999</v>
      </c>
      <c r="I86" s="7">
        <f t="shared" si="5"/>
        <v>-17648.239999999998</v>
      </c>
      <c r="J86" s="7">
        <f t="shared" si="5"/>
        <v>-3338.3645652492414</v>
      </c>
      <c r="K86" s="7">
        <f t="shared" si="5"/>
        <v>47260.99345381539</v>
      </c>
      <c r="L86" s="7">
        <f t="shared" si="5"/>
        <v>44827.977473212319</v>
      </c>
      <c r="M86" s="7">
        <f t="shared" si="5"/>
        <v>51498.912176559999</v>
      </c>
      <c r="N86" s="7">
        <f t="shared" si="5"/>
        <v>19745.41425381539</v>
      </c>
      <c r="O86" s="7">
        <f t="shared" si="5"/>
        <v>-16113.69979997538</v>
      </c>
      <c r="Q86" s="7">
        <f>IFERROR(+Q18-Q21+Q84, 0)</f>
        <v>40608.862992178474</v>
      </c>
    </row>
    <row r="87" spans="1:17" s="6" customFormat="1" x14ac:dyDescent="0.3">
      <c r="B87" s="16"/>
      <c r="C87" s="16"/>
      <c r="D87" s="4">
        <f t="shared" ref="D87:O87" si="6">IFERROR(D86/D10, 0)</f>
        <v>0</v>
      </c>
      <c r="E87" s="4">
        <f t="shared" si="6"/>
        <v>0</v>
      </c>
      <c r="F87" s="4">
        <f t="shared" si="6"/>
        <v>0</v>
      </c>
      <c r="G87" s="4">
        <f t="shared" si="6"/>
        <v>0</v>
      </c>
      <c r="H87" s="4">
        <f t="shared" si="6"/>
        <v>0</v>
      </c>
      <c r="I87" s="4">
        <f t="shared" si="6"/>
        <v>0</v>
      </c>
      <c r="J87" s="4">
        <f t="shared" si="6"/>
        <v>-4.4090026879686744E-2</v>
      </c>
      <c r="K87" s="4">
        <f t="shared" si="6"/>
        <v>0.28035921205540265</v>
      </c>
      <c r="L87" s="4">
        <f t="shared" si="6"/>
        <v>0.27442396205280783</v>
      </c>
      <c r="M87" s="4">
        <f t="shared" si="6"/>
        <v>0.28487693154268268</v>
      </c>
      <c r="N87" s="4">
        <f t="shared" si="6"/>
        <v>0.1764464305203956</v>
      </c>
      <c r="O87" s="4">
        <f t="shared" si="6"/>
        <v>-0.36906391974474656</v>
      </c>
      <c r="P87" s="18"/>
      <c r="Q87" s="4">
        <f>IFERROR(Q86/Q10, 0)</f>
        <v>5.4582832193318789E-2</v>
      </c>
    </row>
    <row r="88" spans="1:17" x14ac:dyDescent="0.3">
      <c r="A88" s="5"/>
      <c r="B88" s="6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25"/>
      <c r="B89" s="6" t="s">
        <v>125</v>
      </c>
      <c r="C89" s="6"/>
      <c r="D89" s="3"/>
      <c r="E89" s="3"/>
      <c r="F89" s="3"/>
      <c r="G89" s="3"/>
      <c r="H89" s="3"/>
      <c r="I89" s="3"/>
      <c r="J89" s="3">
        <v>8564</v>
      </c>
      <c r="K89" s="3">
        <v>19702</v>
      </c>
      <c r="L89" s="3">
        <v>19676</v>
      </c>
      <c r="M89" s="3">
        <v>23013</v>
      </c>
      <c r="N89" s="3">
        <v>14639</v>
      </c>
      <c r="O89" s="3">
        <v>-4788</v>
      </c>
      <c r="Q89" s="2">
        <f>SUM(OSRRefD28_0x)+IFERROR(SUM(OSRRefE28_0x),0)</f>
        <v>80806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124</v>
      </c>
      <c r="C91" s="17"/>
      <c r="D91" s="8">
        <f t="shared" ref="D91:O91" si="7">IFERROR(+D86-D89, 0)</f>
        <v>-21761.300000000003</v>
      </c>
      <c r="E91" s="8">
        <f t="shared" si="7"/>
        <v>-24730.71</v>
      </c>
      <c r="F91" s="8">
        <f t="shared" si="7"/>
        <v>-14035.579999999998</v>
      </c>
      <c r="G91" s="8">
        <f t="shared" si="7"/>
        <v>-14190.6</v>
      </c>
      <c r="H91" s="8">
        <f t="shared" si="7"/>
        <v>-10905.939999999999</v>
      </c>
      <c r="I91" s="8">
        <f t="shared" si="7"/>
        <v>-17648.239999999998</v>
      </c>
      <c r="J91" s="8">
        <f t="shared" si="7"/>
        <v>-11902.364565249241</v>
      </c>
      <c r="K91" s="8">
        <f t="shared" si="7"/>
        <v>27558.99345381539</v>
      </c>
      <c r="L91" s="8">
        <f t="shared" si="7"/>
        <v>25151.977473212319</v>
      </c>
      <c r="M91" s="8">
        <f t="shared" si="7"/>
        <v>28485.912176559999</v>
      </c>
      <c r="N91" s="8">
        <f t="shared" si="7"/>
        <v>5106.4142538153901</v>
      </c>
      <c r="O91" s="8">
        <f t="shared" si="7"/>
        <v>-11325.69979997538</v>
      </c>
      <c r="Q91" s="8">
        <f>IFERROR(+Q86-Q89, 0)</f>
        <v>-40197.137007821526</v>
      </c>
    </row>
    <row r="92" spans="1:17" ht="15" thickTop="1" x14ac:dyDescent="0.3">
      <c r="A92" s="5"/>
      <c r="B92" s="5"/>
      <c r="C92" s="5"/>
      <c r="D92" s="4">
        <f t="shared" ref="D92:O92" si="8">IFERROR(D91/D10, 0)</f>
        <v>0</v>
      </c>
      <c r="E92" s="4">
        <f t="shared" si="8"/>
        <v>0</v>
      </c>
      <c r="F92" s="4">
        <f t="shared" si="8"/>
        <v>0</v>
      </c>
      <c r="G92" s="4">
        <f t="shared" si="8"/>
        <v>0</v>
      </c>
      <c r="H92" s="4">
        <f t="shared" si="8"/>
        <v>0</v>
      </c>
      <c r="I92" s="4">
        <f t="shared" si="8"/>
        <v>0</v>
      </c>
      <c r="J92" s="4">
        <f t="shared" si="8"/>
        <v>-0.15719540612080829</v>
      </c>
      <c r="K92" s="4">
        <f t="shared" si="8"/>
        <v>0.1634840303833674</v>
      </c>
      <c r="L92" s="4">
        <f t="shared" si="8"/>
        <v>0.15397315919029536</v>
      </c>
      <c r="M92" s="4">
        <f t="shared" si="8"/>
        <v>0.15757574111917511</v>
      </c>
      <c r="N92" s="4">
        <f t="shared" si="8"/>
        <v>4.563128209225055E-2</v>
      </c>
      <c r="O92" s="4">
        <f t="shared" si="8"/>
        <v>-0.25940083369541195</v>
      </c>
      <c r="P92" s="18"/>
      <c r="Q92" s="4">
        <f>IFERROR(Q91/Q10, 0)</f>
        <v>-5.4029426639508708E-2</v>
      </c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294</v>
      </c>
      <c r="C95" s="17"/>
      <c r="D95" s="8">
        <f t="shared" ref="D95:O95" si="9">IFERROR(SUM(D91:D94), 0)</f>
        <v>-21761.300000000003</v>
      </c>
      <c r="E95" s="8">
        <f t="shared" si="9"/>
        <v>-24730.71</v>
      </c>
      <c r="F95" s="8">
        <f t="shared" si="9"/>
        <v>-14035.579999999998</v>
      </c>
      <c r="G95" s="8">
        <f t="shared" si="9"/>
        <v>-14190.6</v>
      </c>
      <c r="H95" s="8">
        <f t="shared" si="9"/>
        <v>-10905.939999999999</v>
      </c>
      <c r="I95" s="8">
        <f t="shared" si="9"/>
        <v>-17648.239999999998</v>
      </c>
      <c r="J95" s="8">
        <f t="shared" si="9"/>
        <v>-11902.521760655362</v>
      </c>
      <c r="K95" s="8">
        <f t="shared" si="9"/>
        <v>27559.156937845775</v>
      </c>
      <c r="L95" s="8">
        <f t="shared" si="9"/>
        <v>25152.13144637151</v>
      </c>
      <c r="M95" s="8">
        <f t="shared" si="9"/>
        <v>28486.069752301119</v>
      </c>
      <c r="N95" s="8">
        <f t="shared" si="9"/>
        <v>5106.4598850974826</v>
      </c>
      <c r="O95" s="8">
        <f t="shared" si="9"/>
        <v>-11325.959200809075</v>
      </c>
      <c r="Q95" s="8">
        <f>IFERROR(SUM(Q91:Q94), 0)</f>
        <v>-40197.191037248165</v>
      </c>
    </row>
    <row r="96" spans="1:17" ht="15" thickTop="1" x14ac:dyDescent="0.3">
      <c r="A96" s="5"/>
      <c r="C96" s="5"/>
      <c r="D96" s="4">
        <f t="shared" ref="D96:O96" si="10">IFERROR(D95/D10, 0)</f>
        <v>0</v>
      </c>
      <c r="E96" s="4">
        <f t="shared" si="10"/>
        <v>0</v>
      </c>
      <c r="F96" s="4">
        <f t="shared" si="10"/>
        <v>0</v>
      </c>
      <c r="G96" s="4">
        <f t="shared" si="10"/>
        <v>0</v>
      </c>
      <c r="H96" s="4">
        <f t="shared" si="10"/>
        <v>0</v>
      </c>
      <c r="I96" s="4">
        <f t="shared" si="10"/>
        <v>0</v>
      </c>
      <c r="J96" s="4">
        <f t="shared" si="10"/>
        <v>-0.1571974822121236</v>
      </c>
      <c r="K96" s="4">
        <f t="shared" si="10"/>
        <v>0.16348500019484599</v>
      </c>
      <c r="L96" s="4">
        <f t="shared" si="10"/>
        <v>0.15397410176961249</v>
      </c>
      <c r="M96" s="4">
        <f t="shared" si="10"/>
        <v>0.15757661278212329</v>
      </c>
      <c r="N96" s="4">
        <f t="shared" si="10"/>
        <v>4.5631689856642919E-2</v>
      </c>
      <c r="O96" s="4">
        <f t="shared" si="10"/>
        <v>-0.2594067749435211</v>
      </c>
      <c r="P96" s="18"/>
      <c r="Q96" s="4">
        <f>IFERROR(Q95/Q10, 0)</f>
        <v>-5.4029499261072339E-2</v>
      </c>
    </row>
    <row r="97" spans="1:17" x14ac:dyDescent="0.3">
      <c r="A97" s="5"/>
      <c r="B97" s="28">
        <v>44575.850692245367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A98" s="5"/>
      <c r="B98" s="26" t="s">
        <v>54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3">
      <c r="A99" s="5"/>
      <c r="B99" s="3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3"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","423", " - ", "Contract/Vending Revenue")</f>
        <v>Department 423 - Contract/Vending Revenue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81.13</v>
      </c>
      <c r="E17" s="12">
        <f>SUM(OSRRefD20x_1)</f>
        <v>7811.88</v>
      </c>
      <c r="F17" s="12">
        <f>SUM(OSRRefD20x_2)</f>
        <v>68.5</v>
      </c>
      <c r="G17" s="12">
        <f>SUM(OSRRefD20x_3)</f>
        <v>36</v>
      </c>
      <c r="H17" s="12">
        <f>SUM(OSRRefD20x_4)</f>
        <v>90.539999999999992</v>
      </c>
      <c r="I17" s="12">
        <f>SUM(OSRRefD20x_5)</f>
        <v>36</v>
      </c>
      <c r="J17" s="12">
        <f>SUM(OSRRefE20x_0)</f>
        <v>0</v>
      </c>
      <c r="K17" s="12">
        <f>SUM(OSRRefE20x_1)</f>
        <v>0</v>
      </c>
      <c r="L17" s="12">
        <f>SUM(OSRRefE20x_2)</f>
        <v>0</v>
      </c>
      <c r="M17" s="12">
        <f>SUM(OSRRefE20x_3)</f>
        <v>0</v>
      </c>
      <c r="N17" s="12">
        <f>SUM(OSRRefE20x_4)</f>
        <v>0</v>
      </c>
      <c r="O17" s="12">
        <f>SUM(OSRRefE20x_5)</f>
        <v>0</v>
      </c>
      <c r="Q17" s="12">
        <f>SUM(OSRRefG20x)</f>
        <v>8124.05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0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/>
      <c r="E19" s="2"/>
      <c r="F19" s="2"/>
      <c r="G19" s="2"/>
      <c r="H19" s="2"/>
      <c r="I19" s="2"/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/>
      <c r="E20" s="2"/>
      <c r="F20" s="2"/>
      <c r="G20" s="2"/>
      <c r="H20" s="2"/>
      <c r="I20" s="2"/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/>
      <c r="E21" s="2"/>
      <c r="F21" s="2"/>
      <c r="G21" s="2"/>
      <c r="H21" s="2"/>
      <c r="I21" s="2"/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/>
      <c r="F22" s="2"/>
      <c r="G22" s="2"/>
      <c r="H22" s="2"/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3">
      <c r="A27" s="34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SUM(OSRRefE21_1x_0)</f>
        <v>0</v>
      </c>
      <c r="K27" s="1">
        <f>SUM(OSRRefE21_1x_1)</f>
        <v>0</v>
      </c>
      <c r="L27" s="1">
        <f>SUM(OSRRefE21_1x_2)</f>
        <v>0</v>
      </c>
      <c r="M27" s="1">
        <f>SUM(OSRRefE21_1x_3)</f>
        <v>0</v>
      </c>
      <c r="N27" s="1">
        <f>SUM(OSRRefE21_1x_4)</f>
        <v>0</v>
      </c>
      <c r="O27" s="1">
        <f>SUM(OSRRefE21_1x_5)</f>
        <v>0</v>
      </c>
      <c r="Q27" s="2">
        <f>SUM(OSRRefD20_1x)+IFERROR(SUM(OSRRefE20_1x),0)</f>
        <v>0</v>
      </c>
    </row>
    <row r="28" spans="1:17" s="35" customFormat="1" hidden="1" outlineLevel="1" x14ac:dyDescent="0.3">
      <c r="A28" s="34"/>
      <c r="B28" s="10" t="str">
        <f>CONCATENATE("          ","6001", " - ","ADMINISTRATIVE SALARIES")</f>
        <v xml:space="preserve">          6001 - ADMINISTRATIVE SALARIES</v>
      </c>
      <c r="C28" s="14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5" customFormat="1" hidden="1" outlineLevel="1" x14ac:dyDescent="0.3">
      <c r="A29" s="34"/>
      <c r="B29" s="10" t="str">
        <f>CONCATENATE("          ","6002", " - ","STAFF SALARIES")</f>
        <v xml:space="preserve">          6002 - STAFF SALARIES</v>
      </c>
      <c r="C29" s="14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3">
      <c r="A30" s="34"/>
      <c r="B30" s="10" t="str">
        <f>CONCATENATE("          ","6003", " - ","STAFF HOURLY-9 MONTH")</f>
        <v xml:space="preserve">          6003 - STAFF HOURLY-9 MONTH</v>
      </c>
      <c r="C30" s="14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3">
      <c r="A31" s="34"/>
      <c r="B31" s="10" t="str">
        <f>CONCATENATE("          ","6004", " - ","STAFF HOURLY")</f>
        <v xml:space="preserve">          6004 - STAFF HOURLY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3">
      <c r="A32" s="34"/>
      <c r="B32" s="10" t="str">
        <f>CONCATENATE("          ","6005", " - ","TEMPORARY WAGES-HOURLY")</f>
        <v xml:space="preserve">          6005 - TEMPORARY WAGES-HOURLY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3">
      <c r="A33" s="34"/>
      <c r="B33" s="10" t="str">
        <f>CONCATENATE("          ","6006", " - ","TEMPORARY PART TIME")</f>
        <v xml:space="preserve">          6006 - TEMPORARY PART TIME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3">
      <c r="A34" s="34"/>
      <c r="B34" s="10" t="str">
        <f>CONCATENATE("          ","6007", " - ","STUDENT HOURLY")</f>
        <v xml:space="preserve">          6007 - STUDENT HOURLY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3">
      <c r="A35" s="34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3">
      <c r="A36" s="34"/>
      <c r="B36" s="10" t="str">
        <f>CONCATENATE("          ","6009", " - ","TEMPORARY-SEASONAL")</f>
        <v xml:space="preserve">          6009 - TEMPORARY-SEASONAL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3">
      <c r="A37" s="34"/>
      <c r="B37" s="10" t="str">
        <f>CONCATENATE("          ","6010", " - ","GRATUITY")</f>
        <v xml:space="preserve">          6010 - GRATUITY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3">
      <c r="A38" s="34"/>
      <c r="B38" s="14" t="str">
        <f>CONCATENATE("     ","General                                           ")</f>
        <v xml:space="preserve">     General                                           </v>
      </c>
      <c r="C38" s="14"/>
      <c r="D38" s="1">
        <f>SUM(OSRRefD21_2x_0)</f>
        <v>0</v>
      </c>
      <c r="E38" s="1">
        <f>SUM(OSRRefD21_2x_1)</f>
        <v>7489.93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SUM(OSRRefE21_2x_0)</f>
        <v>0</v>
      </c>
      <c r="K38" s="1">
        <f>SUM(OSRRefE21_2x_1)</f>
        <v>0</v>
      </c>
      <c r="L38" s="1">
        <f>SUM(OSRRefE21_2x_2)</f>
        <v>0</v>
      </c>
      <c r="M38" s="1">
        <f>SUM(OSRRefE21_2x_3)</f>
        <v>0</v>
      </c>
      <c r="N38" s="1">
        <f>SUM(OSRRefE21_2x_4)</f>
        <v>0</v>
      </c>
      <c r="O38" s="1">
        <f>SUM(OSRRefE21_2x_5)</f>
        <v>0</v>
      </c>
      <c r="Q38" s="2">
        <f>SUM(OSRRefD20_2x)+IFERROR(SUM(OSRRefE20_2x),0)</f>
        <v>7489.93</v>
      </c>
    </row>
    <row r="39" spans="1:17" s="35" customFormat="1" hidden="1" outlineLevel="1" x14ac:dyDescent="0.3">
      <c r="A39" s="34"/>
      <c r="B39" s="10" t="str">
        <f>CONCATENATE("          ","6279", " - ","GENERAL EXPENSE")</f>
        <v xml:space="preserve">          6279 - GENERAL EXPENSE</v>
      </c>
      <c r="C39" s="14"/>
      <c r="D39" s="2"/>
      <c r="E39" s="2">
        <v>7489.93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SUM(OSRRefD21_2_0x)+IFERROR(SUM(OSRRefE21_2_0x),0)</f>
        <v>7489.93</v>
      </c>
    </row>
    <row r="40" spans="1:17" s="35" customFormat="1" collapsed="1" x14ac:dyDescent="0.3">
      <c r="A40" s="34"/>
      <c r="B40" s="14" t="str">
        <f>CONCATENATE("     ","Supplies                                          ")</f>
        <v xml:space="preserve">     Supplies                                          </v>
      </c>
      <c r="C40" s="14"/>
      <c r="D40" s="1">
        <f>SUM(OSRRefD21_3x_0)</f>
        <v>245.13</v>
      </c>
      <c r="E40" s="1">
        <f>SUM(OSRRefD21_3x_1)</f>
        <v>253.45</v>
      </c>
      <c r="F40" s="1">
        <f>SUM(OSRRefD21_3x_2)</f>
        <v>0</v>
      </c>
      <c r="G40" s="1">
        <f>SUM(OSRRefD21_3x_3)</f>
        <v>0</v>
      </c>
      <c r="H40" s="1">
        <f>SUM(OSRRefD21_3x_4)</f>
        <v>22.04</v>
      </c>
      <c r="I40" s="1">
        <f>SUM(OSRRefD21_3x_5)</f>
        <v>0</v>
      </c>
      <c r="J40" s="1">
        <f>SUM(OSRRefE21_3x_0)</f>
        <v>0</v>
      </c>
      <c r="K40" s="1">
        <f>SUM(OSRRefE21_3x_1)</f>
        <v>0</v>
      </c>
      <c r="L40" s="1">
        <f>SUM(OSRRefE21_3x_2)</f>
        <v>0</v>
      </c>
      <c r="M40" s="1">
        <f>SUM(OSRRefE21_3x_3)</f>
        <v>0</v>
      </c>
      <c r="N40" s="1">
        <f>SUM(OSRRefE21_3x_4)</f>
        <v>0</v>
      </c>
      <c r="O40" s="1">
        <f>SUM(OSRRefE21_3x_5)</f>
        <v>0</v>
      </c>
      <c r="Q40" s="2">
        <f>SUM(OSRRefD20_3x)+IFERROR(SUM(OSRRefE20_3x),0)</f>
        <v>520.62</v>
      </c>
    </row>
    <row r="41" spans="1:17" s="35" customFormat="1" hidden="1" outlineLevel="1" x14ac:dyDescent="0.3">
      <c r="A41" s="34"/>
      <c r="B41" s="10" t="str">
        <f>CONCATENATE("          ","6241", " - ","OFFICE EXPENSE")</f>
        <v xml:space="preserve">          6241 - OFFICE EXPENSE</v>
      </c>
      <c r="C41" s="14"/>
      <c r="D41" s="2">
        <v>245.13</v>
      </c>
      <c r="E41" s="2">
        <v>253.45</v>
      </c>
      <c r="F41" s="2"/>
      <c r="G41" s="2"/>
      <c r="H41" s="2">
        <v>22.04</v>
      </c>
      <c r="I41" s="2"/>
      <c r="J41" s="2"/>
      <c r="K41" s="2"/>
      <c r="L41" s="2"/>
      <c r="M41" s="2"/>
      <c r="N41" s="2"/>
      <c r="O41" s="2"/>
      <c r="P41" s="9"/>
      <c r="Q41" s="2">
        <f>SUM(OSRRefD21_3_0x)+IFERROR(SUM(OSRRefE21_3_0x),0)</f>
        <v>520.62</v>
      </c>
    </row>
    <row r="42" spans="1:17" s="35" customFormat="1" collapsed="1" x14ac:dyDescent="0.3">
      <c r="A42" s="34"/>
      <c r="B42" s="14" t="str">
        <f>CONCATENATE("     ","Telephone/Data Lines                              ")</f>
        <v xml:space="preserve">     Telephone/Data Lines                              </v>
      </c>
      <c r="C42" s="14"/>
      <c r="D42" s="1">
        <f>SUM(OSRRefD21_4x_0)</f>
        <v>-164</v>
      </c>
      <c r="E42" s="1">
        <f>SUM(OSRRefD21_4x_1)</f>
        <v>68.5</v>
      </c>
      <c r="F42" s="1">
        <f>SUM(OSRRefD21_4x_2)</f>
        <v>68.5</v>
      </c>
      <c r="G42" s="1">
        <f>SUM(OSRRefD21_4x_3)</f>
        <v>36</v>
      </c>
      <c r="H42" s="1">
        <f>SUM(OSRRefD21_4x_4)</f>
        <v>68.5</v>
      </c>
      <c r="I42" s="1">
        <f>SUM(OSRRefD21_4x_5)</f>
        <v>36</v>
      </c>
      <c r="J42" s="1">
        <f>SUM(OSRRefE21_4x_0)</f>
        <v>0</v>
      </c>
      <c r="K42" s="1">
        <f>SUM(OSRRefE21_4x_1)</f>
        <v>0</v>
      </c>
      <c r="L42" s="1">
        <f>SUM(OSRRefE21_4x_2)</f>
        <v>0</v>
      </c>
      <c r="M42" s="1">
        <f>SUM(OSRRefE21_4x_3)</f>
        <v>0</v>
      </c>
      <c r="N42" s="1">
        <f>SUM(OSRRefE21_4x_4)</f>
        <v>0</v>
      </c>
      <c r="O42" s="1">
        <f>SUM(OSRRefE21_4x_5)</f>
        <v>0</v>
      </c>
      <c r="Q42" s="2">
        <f>SUM(OSRRefD20_4x)+IFERROR(SUM(OSRRefE20_4x),0)</f>
        <v>113.5</v>
      </c>
    </row>
    <row r="43" spans="1:17" s="35" customFormat="1" hidden="1" outlineLevel="1" x14ac:dyDescent="0.3">
      <c r="A43" s="34"/>
      <c r="B43" s="10" t="str">
        <f>CONCATENATE("          ","6309", " - ","TELEPHONE")</f>
        <v xml:space="preserve">          6309 - TELEPHONE</v>
      </c>
      <c r="C43" s="14"/>
      <c r="D43" s="2">
        <v>-164</v>
      </c>
      <c r="E43" s="2">
        <v>68.5</v>
      </c>
      <c r="F43" s="2">
        <v>68.5</v>
      </c>
      <c r="G43" s="2">
        <v>36</v>
      </c>
      <c r="H43" s="2">
        <v>68.5</v>
      </c>
      <c r="I43" s="2">
        <v>36</v>
      </c>
      <c r="J43" s="2"/>
      <c r="K43" s="2"/>
      <c r="L43" s="2"/>
      <c r="M43" s="2"/>
      <c r="N43" s="2"/>
      <c r="O43" s="2"/>
      <c r="P43" s="9"/>
      <c r="Q43" s="2">
        <f>SUM(OSRRefD21_4_0x)+IFERROR(SUM(OSRRefE21_4_0x),0)</f>
        <v>113.5</v>
      </c>
    </row>
    <row r="44" spans="1:17" s="29" customFormat="1" x14ac:dyDescent="0.3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9" customFormat="1" x14ac:dyDescent="0.3">
      <c r="A45" s="23"/>
      <c r="B45" s="16" t="s">
        <v>293</v>
      </c>
      <c r="C45" s="22"/>
      <c r="D45" s="3">
        <f t="shared" ref="D45:E45" si="4">0</f>
        <v>0</v>
      </c>
      <c r="E45" s="3">
        <f t="shared" si="4"/>
        <v>0</v>
      </c>
      <c r="F45" s="3">
        <f>--14180.35</f>
        <v>14180.35</v>
      </c>
      <c r="G45" s="3">
        <f>--5936.59</f>
        <v>5936.59</v>
      </c>
      <c r="H45" s="3">
        <f>--5819.63</f>
        <v>5819.63</v>
      </c>
      <c r="I45" s="3">
        <f>--93856.21</f>
        <v>93856.21</v>
      </c>
      <c r="J45" s="3">
        <v>46218.59</v>
      </c>
      <c r="K45" s="3">
        <v>37154.720000000001</v>
      </c>
      <c r="L45" s="3">
        <v>21607.09</v>
      </c>
      <c r="M45" s="3">
        <v>28752.13</v>
      </c>
      <c r="N45" s="3">
        <v>29120.49</v>
      </c>
      <c r="O45" s="3">
        <v>12000</v>
      </c>
      <c r="Q45" s="2">
        <f>SUM(OSRRefD23_0x)+IFERROR(SUM(OSRRefE23_0x),0)</f>
        <v>294645.8</v>
      </c>
    </row>
    <row r="46" spans="1:17" x14ac:dyDescent="0.3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3">
      <c r="A47" s="6"/>
      <c r="B47" s="17" t="s">
        <v>276</v>
      </c>
      <c r="C47" s="17"/>
      <c r="D47" s="7">
        <f t="shared" ref="D47:O47" si="5">IFERROR(+D14-D17+D45, 0)</f>
        <v>-81.13</v>
      </c>
      <c r="E47" s="7">
        <f t="shared" si="5"/>
        <v>-7811.88</v>
      </c>
      <c r="F47" s="7">
        <f t="shared" si="5"/>
        <v>14111.85</v>
      </c>
      <c r="G47" s="7">
        <f t="shared" si="5"/>
        <v>5900.59</v>
      </c>
      <c r="H47" s="7">
        <f t="shared" si="5"/>
        <v>5729.09</v>
      </c>
      <c r="I47" s="7">
        <f t="shared" si="5"/>
        <v>93820.21</v>
      </c>
      <c r="J47" s="7">
        <f t="shared" si="5"/>
        <v>46218.59</v>
      </c>
      <c r="K47" s="7">
        <f t="shared" si="5"/>
        <v>37154.720000000001</v>
      </c>
      <c r="L47" s="7">
        <f t="shared" si="5"/>
        <v>21607.09</v>
      </c>
      <c r="M47" s="7">
        <f t="shared" si="5"/>
        <v>28752.13</v>
      </c>
      <c r="N47" s="7">
        <f t="shared" si="5"/>
        <v>29120.49</v>
      </c>
      <c r="O47" s="7">
        <f t="shared" si="5"/>
        <v>12000</v>
      </c>
      <c r="Q47" s="7">
        <f>IFERROR(+Q14-Q17+Q45, 0)</f>
        <v>286521.75</v>
      </c>
    </row>
    <row r="48" spans="1:17" s="6" customFormat="1" x14ac:dyDescent="0.3">
      <c r="B48" s="16"/>
      <c r="C48" s="16"/>
      <c r="D48" s="4">
        <f t="shared" ref="D48:O48" si="6">IFERROR(D47/D10, 0)</f>
        <v>0</v>
      </c>
      <c r="E48" s="4">
        <f t="shared" si="6"/>
        <v>0</v>
      </c>
      <c r="F48" s="4">
        <f t="shared" si="6"/>
        <v>0</v>
      </c>
      <c r="G48" s="4">
        <f t="shared" si="6"/>
        <v>0</v>
      </c>
      <c r="H48" s="4">
        <f t="shared" si="6"/>
        <v>0</v>
      </c>
      <c r="I48" s="4">
        <f t="shared" si="6"/>
        <v>0</v>
      </c>
      <c r="J48" s="4">
        <f t="shared" si="6"/>
        <v>0</v>
      </c>
      <c r="K48" s="4">
        <f t="shared" si="6"/>
        <v>0</v>
      </c>
      <c r="L48" s="4">
        <f t="shared" si="6"/>
        <v>0</v>
      </c>
      <c r="M48" s="4">
        <f t="shared" si="6"/>
        <v>0</v>
      </c>
      <c r="N48" s="4">
        <f t="shared" si="6"/>
        <v>0</v>
      </c>
      <c r="O48" s="4">
        <f t="shared" si="6"/>
        <v>0</v>
      </c>
      <c r="P48" s="18"/>
      <c r="Q48" s="4">
        <f>IFERROR(Q47/Q10, 0)</f>
        <v>0</v>
      </c>
    </row>
    <row r="49" spans="1:17" x14ac:dyDescent="0.3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3">
      <c r="A50" s="25"/>
      <c r="B50" s="6" t="s">
        <v>125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SUM(OSRRefD28_0x)+IFERROR(SUM(OSRRefE28_0x),0)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" thickBot="1" x14ac:dyDescent="0.35">
      <c r="A52" s="6"/>
      <c r="B52" s="17" t="s">
        <v>124</v>
      </c>
      <c r="C52" s="17"/>
      <c r="D52" s="8">
        <f t="shared" ref="D52:O52" si="7">IFERROR(+D47-D50, 0)</f>
        <v>-81.13</v>
      </c>
      <c r="E52" s="8">
        <f t="shared" si="7"/>
        <v>-7811.88</v>
      </c>
      <c r="F52" s="8">
        <f t="shared" si="7"/>
        <v>14111.85</v>
      </c>
      <c r="G52" s="8">
        <f t="shared" si="7"/>
        <v>5900.59</v>
      </c>
      <c r="H52" s="8">
        <f t="shared" si="7"/>
        <v>5729.09</v>
      </c>
      <c r="I52" s="8">
        <f t="shared" si="7"/>
        <v>93820.21</v>
      </c>
      <c r="J52" s="8">
        <f t="shared" si="7"/>
        <v>46218.59</v>
      </c>
      <c r="K52" s="8">
        <f t="shared" si="7"/>
        <v>37154.720000000001</v>
      </c>
      <c r="L52" s="8">
        <f t="shared" si="7"/>
        <v>21607.09</v>
      </c>
      <c r="M52" s="8">
        <f t="shared" si="7"/>
        <v>28752.13</v>
      </c>
      <c r="N52" s="8">
        <f t="shared" si="7"/>
        <v>29120.49</v>
      </c>
      <c r="O52" s="8">
        <f t="shared" si="7"/>
        <v>12000</v>
      </c>
      <c r="Q52" s="8">
        <f>IFERROR(+Q47-Q50, 0)</f>
        <v>286521.75</v>
      </c>
    </row>
    <row r="53" spans="1:17" ht="15" thickTop="1" x14ac:dyDescent="0.3">
      <c r="A53" s="5"/>
      <c r="B53" s="5"/>
      <c r="C53" s="5"/>
      <c r="D53" s="4">
        <f t="shared" ref="D53:O53" si="8">IFERROR(D52/D10, 0)</f>
        <v>0</v>
      </c>
      <c r="E53" s="4">
        <f t="shared" si="8"/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18"/>
      <c r="Q53" s="4">
        <f>IFERROR(Q52/Q10, 0)</f>
        <v>0</v>
      </c>
    </row>
    <row r="54" spans="1:17" x14ac:dyDescent="0.3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x14ac:dyDescent="0.3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" thickBot="1" x14ac:dyDescent="0.35">
      <c r="A56" s="6"/>
      <c r="B56" s="17" t="s">
        <v>294</v>
      </c>
      <c r="C56" s="17"/>
      <c r="D56" s="8">
        <f t="shared" ref="D56:O56" si="9">IFERROR(SUM(D52:D55), 0)</f>
        <v>-81.13</v>
      </c>
      <c r="E56" s="8">
        <f t="shared" si="9"/>
        <v>-7811.88</v>
      </c>
      <c r="F56" s="8">
        <f t="shared" si="9"/>
        <v>14111.85</v>
      </c>
      <c r="G56" s="8">
        <f t="shared" si="9"/>
        <v>5900.59</v>
      </c>
      <c r="H56" s="8">
        <f t="shared" si="9"/>
        <v>5729.09</v>
      </c>
      <c r="I56" s="8">
        <f t="shared" si="9"/>
        <v>93820.21</v>
      </c>
      <c r="J56" s="8">
        <f t="shared" si="9"/>
        <v>46218.59</v>
      </c>
      <c r="K56" s="8">
        <f t="shared" si="9"/>
        <v>37154.720000000001</v>
      </c>
      <c r="L56" s="8">
        <f t="shared" si="9"/>
        <v>21607.09</v>
      </c>
      <c r="M56" s="8">
        <f t="shared" si="9"/>
        <v>28752.13</v>
      </c>
      <c r="N56" s="8">
        <f t="shared" si="9"/>
        <v>29120.49</v>
      </c>
      <c r="O56" s="8">
        <f t="shared" si="9"/>
        <v>12000</v>
      </c>
      <c r="Q56" s="8">
        <f>IFERROR(SUM(Q52:Q55), 0)</f>
        <v>286521.75</v>
      </c>
    </row>
    <row r="57" spans="1:17" ht="15" thickTop="1" x14ac:dyDescent="0.3">
      <c r="A57" s="5"/>
      <c r="C57" s="5"/>
      <c r="D57" s="4">
        <f t="shared" ref="D57:O57" si="10">IFERROR(D56/D10, 0)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  <c r="O57" s="4">
        <f t="shared" si="10"/>
        <v>0</v>
      </c>
      <c r="P57" s="18"/>
      <c r="Q57" s="4">
        <f>IFERROR(Q56/Q10, 0)</f>
        <v>0</v>
      </c>
    </row>
    <row r="58" spans="1:17" x14ac:dyDescent="0.3">
      <c r="A58" s="5"/>
      <c r="B58" s="28">
        <v>44575.850692245367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Q58" s="13"/>
    </row>
    <row r="59" spans="1:17" x14ac:dyDescent="0.3">
      <c r="A59" s="5"/>
      <c r="B59" s="26" t="s">
        <v>54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Q59" s="13"/>
    </row>
    <row r="60" spans="1:17" x14ac:dyDescent="0.3">
      <c r="A60" s="5"/>
      <c r="B60" s="3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Q60" s="13"/>
    </row>
    <row r="61" spans="1:17" x14ac:dyDescent="0.3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Q6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","424", " - ", "Blair Field")</f>
        <v>Department 424 - Blair Field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479.29</v>
      </c>
      <c r="E17" s="12">
        <f>SUM(OSRRefD20x_1)</f>
        <v>479.29</v>
      </c>
      <c r="F17" s="12">
        <f>SUM(OSRRefD20x_2)</f>
        <v>479.29</v>
      </c>
      <c r="G17" s="12">
        <f>SUM(OSRRefD20x_3)</f>
        <v>479.29</v>
      </c>
      <c r="H17" s="12">
        <f>SUM(OSRRefD20x_4)</f>
        <v>479.29</v>
      </c>
      <c r="I17" s="12">
        <f>SUM(OSRRefD20x_5)</f>
        <v>483.29</v>
      </c>
      <c r="J17" s="12">
        <f>SUM(OSRRefE20x_0)</f>
        <v>479</v>
      </c>
      <c r="K17" s="12">
        <f>SUM(OSRRefE20x_1)</f>
        <v>479</v>
      </c>
      <c r="L17" s="12">
        <f>SUM(OSRRefE20x_2)</f>
        <v>479</v>
      </c>
      <c r="M17" s="12">
        <f>SUM(OSRRefE20x_3)</f>
        <v>479</v>
      </c>
      <c r="N17" s="12">
        <f>SUM(OSRRefE20x_4)</f>
        <v>479</v>
      </c>
      <c r="O17" s="12">
        <f>SUM(OSRRefE20x_5)</f>
        <v>479</v>
      </c>
      <c r="Q17" s="12">
        <f>SUM(OSRRefG20x)</f>
        <v>5753.74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SUM(OSRRefE21_0x_0)</f>
        <v>479</v>
      </c>
      <c r="K18" s="1">
        <f>SUM(OSRRefE21_0x_1)</f>
        <v>479</v>
      </c>
      <c r="L18" s="1">
        <f>SUM(OSRRefE21_0x_2)</f>
        <v>479</v>
      </c>
      <c r="M18" s="1">
        <f>SUM(OSRRefE21_0x_3)</f>
        <v>479</v>
      </c>
      <c r="N18" s="1">
        <f>SUM(OSRRefE21_0x_4)</f>
        <v>479</v>
      </c>
      <c r="O18" s="1">
        <f>SUM(OSRRefE21_0x_5)</f>
        <v>479</v>
      </c>
      <c r="Q18" s="2">
        <f>SUM(OSRRefD20_0x)+IFERROR(SUM(OSRRefE20_0x),0)</f>
        <v>5749.74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5749.74</v>
      </c>
    </row>
    <row r="20" spans="1:17" s="35" customFormat="1" collapsed="1" x14ac:dyDescent="0.3">
      <c r="A20" s="34"/>
      <c r="B20" s="14" t="str">
        <f>CONCATENATE("     ","General                                           ")</f>
        <v xml:space="preserve">     General 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4</v>
      </c>
    </row>
    <row r="21" spans="1:17" s="35" customFormat="1" hidden="1" outlineLevel="1" x14ac:dyDescent="0.3">
      <c r="A21" s="34"/>
      <c r="B21" s="10" t="str">
        <f>CONCATENATE("          ","6279", " - ","GENERAL EXPENSE")</f>
        <v xml:space="preserve">          6279 - GENERAL EXPENSE</v>
      </c>
      <c r="C21" s="14"/>
      <c r="D21" s="2"/>
      <c r="E21" s="2"/>
      <c r="F21" s="2"/>
      <c r="G21" s="2"/>
      <c r="H21" s="2"/>
      <c r="I21" s="2">
        <v>4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4</v>
      </c>
    </row>
    <row r="22" spans="1:17" s="29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I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7">
        <f t="shared" ref="D25:O25" si="5">IFERROR(+D14-D17+D23, 0)</f>
        <v>-479.29</v>
      </c>
      <c r="E25" s="7">
        <f t="shared" si="5"/>
        <v>-479.29</v>
      </c>
      <c r="F25" s="7">
        <f t="shared" si="5"/>
        <v>-479.29</v>
      </c>
      <c r="G25" s="7">
        <f t="shared" si="5"/>
        <v>-479.29</v>
      </c>
      <c r="H25" s="7">
        <f t="shared" si="5"/>
        <v>-479.29</v>
      </c>
      <c r="I25" s="7">
        <f t="shared" si="5"/>
        <v>-483.29</v>
      </c>
      <c r="J25" s="7">
        <f t="shared" si="5"/>
        <v>-479</v>
      </c>
      <c r="K25" s="7">
        <f t="shared" si="5"/>
        <v>-479</v>
      </c>
      <c r="L25" s="7">
        <f t="shared" si="5"/>
        <v>-479</v>
      </c>
      <c r="M25" s="7">
        <f t="shared" si="5"/>
        <v>-479</v>
      </c>
      <c r="N25" s="7">
        <f t="shared" si="5"/>
        <v>-479</v>
      </c>
      <c r="O25" s="7">
        <f t="shared" si="5"/>
        <v>-479</v>
      </c>
      <c r="Q25" s="7">
        <f>IFERROR(+Q14-Q17+Q23, 0)</f>
        <v>-5753.74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8">
        <f t="shared" ref="D30:O30" si="7">IFERROR(+D25-D28, 0)</f>
        <v>-479.29</v>
      </c>
      <c r="E30" s="8">
        <f t="shared" si="7"/>
        <v>-479.29</v>
      </c>
      <c r="F30" s="8">
        <f t="shared" si="7"/>
        <v>-479.29</v>
      </c>
      <c r="G30" s="8">
        <f t="shared" si="7"/>
        <v>-479.29</v>
      </c>
      <c r="H30" s="8">
        <f t="shared" si="7"/>
        <v>-479.29</v>
      </c>
      <c r="I30" s="8">
        <f t="shared" si="7"/>
        <v>-483.29</v>
      </c>
      <c r="J30" s="8">
        <f t="shared" si="7"/>
        <v>-479</v>
      </c>
      <c r="K30" s="8">
        <f t="shared" si="7"/>
        <v>-479</v>
      </c>
      <c r="L30" s="8">
        <f t="shared" si="7"/>
        <v>-479</v>
      </c>
      <c r="M30" s="8">
        <f t="shared" si="7"/>
        <v>-479</v>
      </c>
      <c r="N30" s="8">
        <f t="shared" si="7"/>
        <v>-479</v>
      </c>
      <c r="O30" s="8">
        <f t="shared" si="7"/>
        <v>-479</v>
      </c>
      <c r="Q30" s="8">
        <f>IFERROR(+Q25-Q28, 0)</f>
        <v>-5753.74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8">
        <f t="shared" ref="D34:O34" si="9">IFERROR(SUM(D30:D33), 0)</f>
        <v>-479.29</v>
      </c>
      <c r="E34" s="8">
        <f t="shared" si="9"/>
        <v>-479.29</v>
      </c>
      <c r="F34" s="8">
        <f t="shared" si="9"/>
        <v>-479.29</v>
      </c>
      <c r="G34" s="8">
        <f t="shared" si="9"/>
        <v>-479.29</v>
      </c>
      <c r="H34" s="8">
        <f t="shared" si="9"/>
        <v>-479.29</v>
      </c>
      <c r="I34" s="8">
        <f t="shared" si="9"/>
        <v>-483.29</v>
      </c>
      <c r="J34" s="8">
        <f t="shared" si="9"/>
        <v>-479</v>
      </c>
      <c r="K34" s="8">
        <f t="shared" si="9"/>
        <v>-479</v>
      </c>
      <c r="L34" s="8">
        <f t="shared" si="9"/>
        <v>-479</v>
      </c>
      <c r="M34" s="8">
        <f t="shared" si="9"/>
        <v>-479</v>
      </c>
      <c r="N34" s="8">
        <f t="shared" si="9"/>
        <v>-479</v>
      </c>
      <c r="O34" s="8">
        <f t="shared" si="9"/>
        <v>-479</v>
      </c>
      <c r="Q34" s="8">
        <f>IFERROR(SUM(Q30:Q33), 0)</f>
        <v>-5753.74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28">
        <v>44575.850692245367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26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A38" s="5"/>
      <c r="B38" s="3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","455", " - ", "Vending (old)")</f>
        <v>Department 455 - Vending (old)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>--1238.12</f>
        <v>1238.1199999999999</v>
      </c>
      <c r="E19" s="3">
        <f>--10505.51</f>
        <v>10505.51</v>
      </c>
      <c r="F19" s="3">
        <f>-11743.63</f>
        <v>-11743.63</v>
      </c>
      <c r="G19" s="3">
        <f t="shared" ref="G19:I19" si="5">0</f>
        <v>0</v>
      </c>
      <c r="H19" s="3">
        <f t="shared" si="5"/>
        <v>0</v>
      </c>
      <c r="I19" s="3">
        <f t="shared" si="5"/>
        <v>0</v>
      </c>
      <c r="J19" s="3"/>
      <c r="K19" s="3"/>
      <c r="L19" s="3"/>
      <c r="M19" s="3"/>
      <c r="N19" s="3"/>
      <c r="O19" s="3"/>
      <c r="Q19" s="2">
        <f>SUM(OSRRefD23_0x)+IFERROR(SUM(OSRRefE23_0x),0)</f>
        <v>1.8189894035458565E-12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7">
        <f t="shared" ref="D21:O21" si="6">IFERROR(+D14-D17+D19, 0)</f>
        <v>1238.1199999999999</v>
      </c>
      <c r="E21" s="7">
        <f t="shared" si="6"/>
        <v>10505.51</v>
      </c>
      <c r="F21" s="7">
        <f t="shared" si="6"/>
        <v>-11743.63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1.8189894035458565E-12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8">
        <f t="shared" ref="D26:O26" si="8">IFERROR(+D21-D24, 0)</f>
        <v>1238.1199999999999</v>
      </c>
      <c r="E26" s="8">
        <f t="shared" si="8"/>
        <v>10505.51</v>
      </c>
      <c r="F26" s="8">
        <f t="shared" si="8"/>
        <v>-11743.63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1.8189894035458565E-12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294</v>
      </c>
      <c r="C30" s="17"/>
      <c r="D30" s="8">
        <f t="shared" ref="D30:O30" si="10">IFERROR(SUM(D26:D29), 0)</f>
        <v>1238.1199999999999</v>
      </c>
      <c r="E30" s="8">
        <f t="shared" si="10"/>
        <v>10505.51</v>
      </c>
      <c r="F30" s="8">
        <f t="shared" si="10"/>
        <v>-11743.63</v>
      </c>
      <c r="G30" s="8">
        <f t="shared" si="10"/>
        <v>0</v>
      </c>
      <c r="H30" s="8">
        <f t="shared" si="10"/>
        <v>0</v>
      </c>
      <c r="I30" s="8">
        <f t="shared" si="10"/>
        <v>0</v>
      </c>
      <c r="J30" s="8">
        <f t="shared" si="10"/>
        <v>0</v>
      </c>
      <c r="K30" s="8">
        <f t="shared" si="10"/>
        <v>0</v>
      </c>
      <c r="L30" s="8">
        <f t="shared" si="10"/>
        <v>0</v>
      </c>
      <c r="M30" s="8">
        <f t="shared" si="10"/>
        <v>0</v>
      </c>
      <c r="N30" s="8">
        <f t="shared" si="10"/>
        <v>0</v>
      </c>
      <c r="O30" s="8">
        <f t="shared" si="10"/>
        <v>0</v>
      </c>
      <c r="Q30" s="8">
        <f>IFERROR(SUM(Q26:Q29), 0)</f>
        <v>1.8189894035458565E-12</v>
      </c>
    </row>
    <row r="31" spans="1:17" ht="15" thickTop="1" x14ac:dyDescent="0.3">
      <c r="A31" s="5"/>
      <c r="C31" s="5"/>
      <c r="D31" s="4">
        <f t="shared" ref="D31:O31" si="11">IFERROR(D30/D10, 0)</f>
        <v>0</v>
      </c>
      <c r="E31" s="4">
        <f t="shared" si="11"/>
        <v>0</v>
      </c>
      <c r="F31" s="4">
        <f t="shared" si="11"/>
        <v>0</v>
      </c>
      <c r="G31" s="4">
        <f t="shared" si="11"/>
        <v>0</v>
      </c>
      <c r="H31" s="4">
        <f t="shared" si="11"/>
        <v>0</v>
      </c>
      <c r="I31" s="4">
        <f t="shared" si="11"/>
        <v>0</v>
      </c>
      <c r="J31" s="4">
        <f t="shared" si="11"/>
        <v>0</v>
      </c>
      <c r="K31" s="4">
        <f t="shared" si="11"/>
        <v>0</v>
      </c>
      <c r="L31" s="4">
        <f t="shared" si="11"/>
        <v>0</v>
      </c>
      <c r="M31" s="4">
        <f t="shared" si="11"/>
        <v>0</v>
      </c>
      <c r="N31" s="4">
        <f t="shared" si="11"/>
        <v>0</v>
      </c>
      <c r="O31" s="4">
        <f t="shared" si="11"/>
        <v>0</v>
      </c>
      <c r="P31" s="18"/>
      <c r="Q31" s="4">
        <f>IFERROR(Q30/Q10, 0)</f>
        <v>0</v>
      </c>
    </row>
    <row r="32" spans="1:17" x14ac:dyDescent="0.3">
      <c r="A32" s="5"/>
      <c r="B32" s="28">
        <v>44575.850692245367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13"/>
    </row>
    <row r="33" spans="1:17" x14ac:dyDescent="0.3">
      <c r="A33" s="5"/>
      <c r="B33" s="26" t="s">
        <v>54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3">
      <c r="A34" s="5"/>
      <c r="B34" s="3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4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","425", " - ", "Events Center")</f>
        <v>Department 425 - Events Center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4264.84</v>
      </c>
      <c r="H10" s="3">
        <f>SUM(OSRRefD11x_4)</f>
        <v>1464.84</v>
      </c>
      <c r="I10" s="3">
        <f>SUM(OSRRefD11x_5)</f>
        <v>1649.9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7379.58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--4264.84</f>
        <v>4264.84</v>
      </c>
      <c r="H11" s="2">
        <f>--1464.84</f>
        <v>1464.84</v>
      </c>
      <c r="I11" s="2">
        <f>--1649.9</f>
        <v>1649.9</v>
      </c>
      <c r="J11" s="2"/>
      <c r="K11" s="2"/>
      <c r="L11" s="2"/>
      <c r="M11" s="2"/>
      <c r="N11" s="2"/>
      <c r="O11" s="2"/>
      <c r="Q11" s="2">
        <f>SUM(OSRRefD11_0x)+IFERROR(SUM(OSRRefE11_0x),0)</f>
        <v>7379.58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">
      <c r="A13" s="23"/>
      <c r="B13" s="16" t="s">
        <v>218</v>
      </c>
      <c r="C13" s="22"/>
      <c r="D13" s="3">
        <f>SUM(OSRRefD14x_0)</f>
        <v>-1034.73</v>
      </c>
      <c r="E13" s="3">
        <f>SUM(OSRRefD14x_1)</f>
        <v>0</v>
      </c>
      <c r="F13" s="3">
        <f>SUM(OSRRefD14x_2)</f>
        <v>0</v>
      </c>
      <c r="G13" s="3">
        <f>SUM(OSRRefD14x_3)</f>
        <v>6982.02</v>
      </c>
      <c r="H13" s="3">
        <f>SUM(OSRRefD14x_4)</f>
        <v>123.48</v>
      </c>
      <c r="I13" s="3">
        <f>SUM(OSRRefD14x_5)</f>
        <v>969</v>
      </c>
      <c r="J13" s="3">
        <f>SUM(OSRRefE14x_0)</f>
        <v>0</v>
      </c>
      <c r="K13" s="3">
        <f>SUM(OSRRefE14x_1)</f>
        <v>0</v>
      </c>
      <c r="L13" s="3">
        <f>SUM(OSRRefE14x_2)</f>
        <v>0</v>
      </c>
      <c r="M13" s="3">
        <f>SUM(OSRRefE14x_3)</f>
        <v>0</v>
      </c>
      <c r="N13" s="3">
        <f>SUM(OSRRefE14x_4)</f>
        <v>0</v>
      </c>
      <c r="O13" s="3">
        <f>SUM(OSRRefE14x_5)</f>
        <v>0</v>
      </c>
      <c r="Q13" s="3">
        <f>SUM(OSRRefG14x)</f>
        <v>7039.77</v>
      </c>
    </row>
    <row r="14" spans="1:18" s="9" customFormat="1" hidden="1" outlineLevel="1" x14ac:dyDescent="0.3">
      <c r="A14" s="23"/>
      <c r="B14" s="10" t="str">
        <f>CONCATENATE("          ","5053", " - ","PURCHASES @ COST-FOOD")</f>
        <v xml:space="preserve">          5053 - PURCHASES @ COST-FOOD</v>
      </c>
      <c r="C14" s="22"/>
      <c r="D14" s="2">
        <v>-1034.73</v>
      </c>
      <c r="E14" s="2"/>
      <c r="F14" s="2"/>
      <c r="G14" s="2">
        <v>6982.02</v>
      </c>
      <c r="H14" s="2">
        <v>123.48</v>
      </c>
      <c r="I14" s="2">
        <v>969</v>
      </c>
      <c r="J14" s="2"/>
      <c r="K14" s="2"/>
      <c r="L14" s="2"/>
      <c r="M14" s="2"/>
      <c r="N14" s="2"/>
      <c r="O14" s="2"/>
      <c r="Q14" s="2">
        <f>SUM(OSRRefD14_0x)+IFERROR(SUM(OSRRefE14_0x),0)</f>
        <v>7039.77</v>
      </c>
    </row>
    <row r="15" spans="1:18" x14ac:dyDescent="0.3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">
      <c r="A16" s="6"/>
      <c r="B16" s="17" t="s">
        <v>105</v>
      </c>
      <c r="C16" s="17"/>
      <c r="D16" s="7">
        <f t="shared" ref="D16:O16" si="1">IFERROR(+D10-D13, 0)</f>
        <v>1034.73</v>
      </c>
      <c r="E16" s="7">
        <f t="shared" si="1"/>
        <v>0</v>
      </c>
      <c r="F16" s="7">
        <f t="shared" si="1"/>
        <v>0</v>
      </c>
      <c r="G16" s="7">
        <f t="shared" si="1"/>
        <v>-2717.1800000000003</v>
      </c>
      <c r="H16" s="7">
        <f t="shared" si="1"/>
        <v>1341.36</v>
      </c>
      <c r="I16" s="7">
        <f t="shared" si="1"/>
        <v>680.90000000000009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339.80999999999949</v>
      </c>
    </row>
    <row r="17" spans="1:17" s="6" customFormat="1" x14ac:dyDescent="0.3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-0.63711182600050653</v>
      </c>
      <c r="H17" s="4">
        <f t="shared" si="2"/>
        <v>0.9157041042025067</v>
      </c>
      <c r="I17" s="4">
        <f t="shared" si="2"/>
        <v>0.41269167828353237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4.6047336027253513E-2</v>
      </c>
    </row>
    <row r="18" spans="1:17" x14ac:dyDescent="0.3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">
      <c r="A19" s="6"/>
      <c r="B19" s="16" t="s">
        <v>255</v>
      </c>
      <c r="C19" s="6"/>
      <c r="D19" s="12">
        <f>SUM(OSRRefD20x_0)</f>
        <v>1000.91</v>
      </c>
      <c r="E19" s="12">
        <f>SUM(OSRRefD20x_1)</f>
        <v>1000.91</v>
      </c>
      <c r="F19" s="12">
        <f>SUM(OSRRefD20x_2)</f>
        <v>1000.91</v>
      </c>
      <c r="G19" s="12">
        <f>SUM(OSRRefD20x_3)</f>
        <v>4003.12</v>
      </c>
      <c r="H19" s="12">
        <f>SUM(OSRRefD20x_4)</f>
        <v>1401.94</v>
      </c>
      <c r="I19" s="12">
        <f>SUM(OSRRefD20x_5)</f>
        <v>2147.25</v>
      </c>
      <c r="J19" s="12">
        <f>SUM(OSRRefE20x_0)</f>
        <v>1001</v>
      </c>
      <c r="K19" s="12">
        <f>SUM(OSRRefE20x_1)</f>
        <v>1001</v>
      </c>
      <c r="L19" s="12">
        <f>SUM(OSRRefE20x_2)</f>
        <v>1001</v>
      </c>
      <c r="M19" s="12">
        <f>SUM(OSRRefE20x_3)</f>
        <v>1001</v>
      </c>
      <c r="N19" s="12">
        <f>SUM(OSRRefE20x_4)</f>
        <v>1001</v>
      </c>
      <c r="O19" s="12">
        <f>SUM(OSRRefE20x_5)</f>
        <v>1001</v>
      </c>
      <c r="Q19" s="12">
        <f>SUM(OSRRefG20x)</f>
        <v>16561.039999999997</v>
      </c>
    </row>
    <row r="20" spans="1:17" s="35" customFormat="1" collapsed="1" x14ac:dyDescent="0.3">
      <c r="A20" s="34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64.73</v>
      </c>
      <c r="H20" s="1">
        <f>SUM(OSRRefD21_0x_4)</f>
        <v>34.81</v>
      </c>
      <c r="I20" s="1">
        <f>SUM(OSRRefD21_0x_5)</f>
        <v>33.869999999999997</v>
      </c>
      <c r="J20" s="1">
        <f>SUM(OSRRefE21_0x_0)</f>
        <v>0</v>
      </c>
      <c r="K20" s="1">
        <f>SUM(OSRRefE21_0x_1)</f>
        <v>0</v>
      </c>
      <c r="L20" s="1">
        <f>SUM(OSRRefE21_0x_2)</f>
        <v>0</v>
      </c>
      <c r="M20" s="1">
        <f>SUM(OSRRefE21_0x_3)</f>
        <v>0</v>
      </c>
      <c r="N20" s="1">
        <f>SUM(OSRRefE21_0x_4)</f>
        <v>0</v>
      </c>
      <c r="O20" s="1">
        <f>SUM(OSRRefE21_0x_5)</f>
        <v>0</v>
      </c>
      <c r="Q20" s="2">
        <f>SUM(OSRRefD20_0x)+IFERROR(SUM(OSRRefE20_0x),0)</f>
        <v>133.41</v>
      </c>
    </row>
    <row r="21" spans="1:17" s="35" customFormat="1" hidden="1" outlineLevel="1" x14ac:dyDescent="0.3">
      <c r="A21" s="34"/>
      <c r="B21" s="10" t="str">
        <f>CONCATENATE("          ","6381", " - ","BANK/CREDIT CARD FEES")</f>
        <v xml:space="preserve">          6381 - BANK/CREDIT CARD FEES</v>
      </c>
      <c r="C21" s="14"/>
      <c r="D21" s="2"/>
      <c r="E21" s="2"/>
      <c r="F21" s="2"/>
      <c r="G21" s="2">
        <v>64.73</v>
      </c>
      <c r="H21" s="2">
        <v>34.81</v>
      </c>
      <c r="I21" s="2">
        <v>33.869999999999997</v>
      </c>
      <c r="J21" s="2"/>
      <c r="K21" s="2"/>
      <c r="L21" s="2"/>
      <c r="M21" s="2"/>
      <c r="N21" s="2"/>
      <c r="O21" s="2"/>
      <c r="P21" s="9"/>
      <c r="Q21" s="2">
        <f>SUM(OSRRefD21_0_0x)+IFERROR(SUM(OSRRefE21_0_0x),0)</f>
        <v>133.41</v>
      </c>
    </row>
    <row r="22" spans="1:17" s="35" customFormat="1" collapsed="1" x14ac:dyDescent="0.3">
      <c r="A22" s="34"/>
      <c r="B22" s="14" t="str">
        <f>CONCATENATE("     ","Depreciation                                      ")</f>
        <v xml:space="preserve">     Depreciation                                      </v>
      </c>
      <c r="C22" s="14"/>
      <c r="D22" s="1">
        <f>SUM(OSRRefD21_1x_0)</f>
        <v>1000.91</v>
      </c>
      <c r="E22" s="1">
        <f>SUM(OSRRefD21_1x_1)</f>
        <v>1000.91</v>
      </c>
      <c r="F22" s="1">
        <f>SUM(OSRRefD21_1x_2)</f>
        <v>1000.91</v>
      </c>
      <c r="G22" s="1">
        <f>SUM(OSRRefD21_1x_3)</f>
        <v>1000.91</v>
      </c>
      <c r="H22" s="1">
        <f>SUM(OSRRefD21_1x_4)</f>
        <v>1000.91</v>
      </c>
      <c r="I22" s="1">
        <f>SUM(OSRRefD21_1x_5)</f>
        <v>1000.91</v>
      </c>
      <c r="J22" s="1">
        <f>SUM(OSRRefE21_1x_0)</f>
        <v>1001</v>
      </c>
      <c r="K22" s="1">
        <f>SUM(OSRRefE21_1x_1)</f>
        <v>1001</v>
      </c>
      <c r="L22" s="1">
        <f>SUM(OSRRefE21_1x_2)</f>
        <v>1001</v>
      </c>
      <c r="M22" s="1">
        <f>SUM(OSRRefE21_1x_3)</f>
        <v>1001</v>
      </c>
      <c r="N22" s="1">
        <f>SUM(OSRRefE21_1x_4)</f>
        <v>1001</v>
      </c>
      <c r="O22" s="1">
        <f>SUM(OSRRefE21_1x_5)</f>
        <v>1001</v>
      </c>
      <c r="Q22" s="2">
        <f>SUM(OSRRefD20_1x)+IFERROR(SUM(OSRRefE20_1x),0)</f>
        <v>12011.46</v>
      </c>
    </row>
    <row r="23" spans="1:17" s="35" customFormat="1" hidden="1" outlineLevel="1" x14ac:dyDescent="0.3">
      <c r="A23" s="34"/>
      <c r="B23" s="10" t="str">
        <f>CONCATENATE("          ","6322", " - ","EQUIPMENT DEPRECIATION EXPENSE")</f>
        <v xml:space="preserve">          6322 - EQUIPMENT DEPRECIATION EXPENSE</v>
      </c>
      <c r="C23" s="14"/>
      <c r="D23" s="2">
        <v>1000.91</v>
      </c>
      <c r="E23" s="2">
        <v>1000.91</v>
      </c>
      <c r="F23" s="2">
        <v>1000.91</v>
      </c>
      <c r="G23" s="2">
        <v>1000.91</v>
      </c>
      <c r="H23" s="2">
        <v>1000.91</v>
      </c>
      <c r="I23" s="2">
        <v>1000.91</v>
      </c>
      <c r="J23" s="2">
        <v>1001</v>
      </c>
      <c r="K23" s="2">
        <v>1001</v>
      </c>
      <c r="L23" s="2">
        <v>1001</v>
      </c>
      <c r="M23" s="2">
        <v>1001</v>
      </c>
      <c r="N23" s="2">
        <v>1001</v>
      </c>
      <c r="O23" s="2">
        <v>1001</v>
      </c>
      <c r="P23" s="9"/>
      <c r="Q23" s="2">
        <f>SUM(OSRRefD21_1_0x)+IFERROR(SUM(OSRRefE21_1_0x),0)</f>
        <v>12011.46</v>
      </c>
    </row>
    <row r="24" spans="1:17" s="35" customFormat="1" collapsed="1" x14ac:dyDescent="0.3">
      <c r="A24" s="34"/>
      <c r="B24" s="14" t="str">
        <f>CONCATENATE("     ","General                                           ")</f>
        <v xml:space="preserve">     General                                           </v>
      </c>
      <c r="C24" s="14"/>
      <c r="D24" s="1">
        <f>SUM(OSRRefD21_2x_0)</f>
        <v>0</v>
      </c>
      <c r="E24" s="1">
        <f>SUM(OSRRefD21_2x_1)</f>
        <v>0</v>
      </c>
      <c r="F24" s="1">
        <f>SUM(OSRRefD21_2x_2)</f>
        <v>0</v>
      </c>
      <c r="G24" s="1">
        <f>SUM(OSRRefD21_2x_3)</f>
        <v>1755</v>
      </c>
      <c r="H24" s="1">
        <f>SUM(OSRRefD21_2x_4)</f>
        <v>0</v>
      </c>
      <c r="I24" s="1">
        <f>SUM(OSRRefD21_2x_5)</f>
        <v>700</v>
      </c>
      <c r="J24" s="1">
        <f>SUM(OSRRefE21_2x_0)</f>
        <v>0</v>
      </c>
      <c r="K24" s="1">
        <f>SUM(OSRRefE21_2x_1)</f>
        <v>0</v>
      </c>
      <c r="L24" s="1">
        <f>SUM(OSRRefE21_2x_2)</f>
        <v>0</v>
      </c>
      <c r="M24" s="1">
        <f>SUM(OSRRefE21_2x_3)</f>
        <v>0</v>
      </c>
      <c r="N24" s="1">
        <f>SUM(OSRRefE21_2x_4)</f>
        <v>0</v>
      </c>
      <c r="O24" s="1">
        <f>SUM(OSRRefE21_2x_5)</f>
        <v>0</v>
      </c>
      <c r="Q24" s="2">
        <f>SUM(OSRRefD20_2x)+IFERROR(SUM(OSRRefE20_2x),0)</f>
        <v>2455</v>
      </c>
    </row>
    <row r="25" spans="1:17" s="35" customFormat="1" hidden="1" outlineLevel="1" x14ac:dyDescent="0.3">
      <c r="A25" s="34"/>
      <c r="B25" s="10" t="str">
        <f>CONCATENATE("          ","6279", " - ","GENERAL EXPENSE")</f>
        <v xml:space="preserve">          6279 - GENERAL EXPENSE</v>
      </c>
      <c r="C25" s="14"/>
      <c r="D25" s="2"/>
      <c r="E25" s="2"/>
      <c r="F25" s="2"/>
      <c r="G25" s="2">
        <v>1755</v>
      </c>
      <c r="H25" s="2"/>
      <c r="I25" s="2">
        <v>700</v>
      </c>
      <c r="J25" s="2"/>
      <c r="K25" s="2"/>
      <c r="L25" s="2"/>
      <c r="M25" s="2"/>
      <c r="N25" s="2"/>
      <c r="O25" s="2"/>
      <c r="P25" s="9"/>
      <c r="Q25" s="2">
        <f>SUM(OSRRefD21_2_0x)+IFERROR(SUM(OSRRefE21_2_0x),0)</f>
        <v>2455</v>
      </c>
    </row>
    <row r="26" spans="1:17" s="35" customFormat="1" collapsed="1" x14ac:dyDescent="0.3">
      <c r="A26" s="34"/>
      <c r="B26" s="14" t="str">
        <f>CONCATENATE("     ","Royalty &amp; Commissions                             ")</f>
        <v xml:space="preserve">     Royalty &amp; Commissions                             </v>
      </c>
      <c r="C26" s="14"/>
      <c r="D26" s="1">
        <f>SUM(OSRRefD21_3x_0)</f>
        <v>0</v>
      </c>
      <c r="E26" s="1">
        <f>SUM(OSRRefD21_3x_1)</f>
        <v>0</v>
      </c>
      <c r="F26" s="1">
        <f>SUM(OSRRefD21_3x_2)</f>
        <v>0</v>
      </c>
      <c r="G26" s="1">
        <f>SUM(OSRRefD21_3x_3)</f>
        <v>1066.22</v>
      </c>
      <c r="H26" s="1">
        <f>SUM(OSRRefD21_3x_4)</f>
        <v>366.22</v>
      </c>
      <c r="I26" s="1">
        <f>SUM(OSRRefD21_3x_5)</f>
        <v>412.47</v>
      </c>
      <c r="J26" s="1">
        <f>SUM(OSRRefE21_3x_0)</f>
        <v>0</v>
      </c>
      <c r="K26" s="1">
        <f>SUM(OSRRefE21_3x_1)</f>
        <v>0</v>
      </c>
      <c r="L26" s="1">
        <f>SUM(OSRRefE21_3x_2)</f>
        <v>0</v>
      </c>
      <c r="M26" s="1">
        <f>SUM(OSRRefE21_3x_3)</f>
        <v>0</v>
      </c>
      <c r="N26" s="1">
        <f>SUM(OSRRefE21_3x_4)</f>
        <v>0</v>
      </c>
      <c r="O26" s="1">
        <f>SUM(OSRRefE21_3x_5)</f>
        <v>0</v>
      </c>
      <c r="Q26" s="2">
        <f>SUM(OSRRefD20_3x)+IFERROR(SUM(OSRRefE20_3x),0)</f>
        <v>1844.91</v>
      </c>
    </row>
    <row r="27" spans="1:17" s="35" customFormat="1" hidden="1" outlineLevel="1" x14ac:dyDescent="0.3">
      <c r="A27" s="34"/>
      <c r="B27" s="10" t="str">
        <f>CONCATENATE("          ","6254", " - ","ROYALTY &amp; COMMISSIONS")</f>
        <v xml:space="preserve">          6254 - ROYALTY &amp; COMMISSIONS</v>
      </c>
      <c r="C27" s="14"/>
      <c r="D27" s="2"/>
      <c r="E27" s="2"/>
      <c r="F27" s="2"/>
      <c r="G27" s="2">
        <v>1066.22</v>
      </c>
      <c r="H27" s="2">
        <v>366.22</v>
      </c>
      <c r="I27" s="2">
        <v>412.47</v>
      </c>
      <c r="J27" s="2"/>
      <c r="K27" s="2"/>
      <c r="L27" s="2"/>
      <c r="M27" s="2"/>
      <c r="N27" s="2"/>
      <c r="O27" s="2"/>
      <c r="P27" s="9"/>
      <c r="Q27" s="2">
        <f>SUM(OSRRefD21_3_0x)+IFERROR(SUM(OSRRefE21_3_0x),0)</f>
        <v>1844.91</v>
      </c>
    </row>
    <row r="28" spans="1:17" s="35" customFormat="1" collapsed="1" x14ac:dyDescent="0.3">
      <c r="A28" s="34"/>
      <c r="B28" s="14" t="str">
        <f>CONCATENATE("     ","Supplies                                          ")</f>
        <v xml:space="preserve">     Supplies                                          </v>
      </c>
      <c r="C28" s="14"/>
      <c r="D28" s="1">
        <f>SUM(OSRRefD21_4x_0)</f>
        <v>0</v>
      </c>
      <c r="E28" s="1">
        <f>SUM(OSRRefD21_4x_1)</f>
        <v>0</v>
      </c>
      <c r="F28" s="1">
        <f>SUM(OSRRefD21_4x_2)</f>
        <v>0</v>
      </c>
      <c r="G28" s="1">
        <f>SUM(OSRRefD21_4x_3)</f>
        <v>116.26</v>
      </c>
      <c r="H28" s="1">
        <f>SUM(OSRRefD21_4x_4)</f>
        <v>0</v>
      </c>
      <c r="I28" s="1">
        <f>SUM(OSRRefD21_4x_5)</f>
        <v>0</v>
      </c>
      <c r="J28" s="1">
        <f>SUM(OSRRefE21_4x_0)</f>
        <v>0</v>
      </c>
      <c r="K28" s="1">
        <f>SUM(OSRRefE21_4x_1)</f>
        <v>0</v>
      </c>
      <c r="L28" s="1">
        <f>SUM(OSRRefE21_4x_2)</f>
        <v>0</v>
      </c>
      <c r="M28" s="1">
        <f>SUM(OSRRefE21_4x_3)</f>
        <v>0</v>
      </c>
      <c r="N28" s="1">
        <f>SUM(OSRRefE21_4x_4)</f>
        <v>0</v>
      </c>
      <c r="O28" s="1">
        <f>SUM(OSRRefE21_4x_5)</f>
        <v>0</v>
      </c>
      <c r="Q28" s="2">
        <f>SUM(OSRRefD20_4x)+IFERROR(SUM(OSRRefE20_4x),0)</f>
        <v>116.26</v>
      </c>
    </row>
    <row r="29" spans="1:17" s="35" customFormat="1" hidden="1" outlineLevel="1" x14ac:dyDescent="0.3">
      <c r="A29" s="34"/>
      <c r="B29" s="10" t="str">
        <f>CONCATENATE("          ","6243", " - ","PAPER SUPPLIES")</f>
        <v xml:space="preserve">          6243 - PAPER SUPPLIES</v>
      </c>
      <c r="C29" s="14"/>
      <c r="D29" s="2"/>
      <c r="E29" s="2"/>
      <c r="F29" s="2"/>
      <c r="G29" s="2">
        <v>116.26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SUM(OSRRefD21_4_0x)+IFERROR(SUM(OSRRefE21_4_0x),0)</f>
        <v>116.26</v>
      </c>
    </row>
    <row r="30" spans="1:17" s="29" customFormat="1" x14ac:dyDescent="0.3">
      <c r="A30" s="21"/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9" customFormat="1" x14ac:dyDescent="0.3">
      <c r="A31" s="23"/>
      <c r="B31" s="16" t="s">
        <v>293</v>
      </c>
      <c r="C31" s="22"/>
      <c r="D31" s="3">
        <f t="shared" ref="D31:I31" si="3">0</f>
        <v>0</v>
      </c>
      <c r="E31" s="3">
        <f t="shared" si="3"/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0</v>
      </c>
      <c r="J31" s="3"/>
      <c r="K31" s="3"/>
      <c r="L31" s="3"/>
      <c r="M31" s="3"/>
      <c r="N31" s="3"/>
      <c r="O31" s="3"/>
      <c r="Q31" s="2">
        <f>SUM(OSRRefD23_0x)+IFERROR(SUM(OSRRefE23_0x),0)</f>
        <v>0</v>
      </c>
    </row>
    <row r="32" spans="1:17" x14ac:dyDescent="0.3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6"/>
      <c r="B33" s="17" t="s">
        <v>276</v>
      </c>
      <c r="C33" s="17"/>
      <c r="D33" s="7">
        <f t="shared" ref="D33:O33" si="4">IFERROR(+D16-D19+D31, 0)</f>
        <v>33.82000000000005</v>
      </c>
      <c r="E33" s="7">
        <f t="shared" si="4"/>
        <v>-1000.91</v>
      </c>
      <c r="F33" s="7">
        <f t="shared" si="4"/>
        <v>-1000.91</v>
      </c>
      <c r="G33" s="7">
        <f t="shared" si="4"/>
        <v>-6720.3</v>
      </c>
      <c r="H33" s="7">
        <f t="shared" si="4"/>
        <v>-60.580000000000155</v>
      </c>
      <c r="I33" s="7">
        <f t="shared" si="4"/>
        <v>-1466.35</v>
      </c>
      <c r="J33" s="7">
        <f t="shared" si="4"/>
        <v>-1001</v>
      </c>
      <c r="K33" s="7">
        <f t="shared" si="4"/>
        <v>-1001</v>
      </c>
      <c r="L33" s="7">
        <f t="shared" si="4"/>
        <v>-1001</v>
      </c>
      <c r="M33" s="7">
        <f t="shared" si="4"/>
        <v>-1001</v>
      </c>
      <c r="N33" s="7">
        <f t="shared" si="4"/>
        <v>-1001</v>
      </c>
      <c r="O33" s="7">
        <f t="shared" si="4"/>
        <v>-1001</v>
      </c>
      <c r="Q33" s="7">
        <f>IFERROR(+Q16-Q19+Q31, 0)</f>
        <v>-16221.229999999998</v>
      </c>
    </row>
    <row r="34" spans="1:17" s="6" customFormat="1" x14ac:dyDescent="0.3">
      <c r="B34" s="16"/>
      <c r="C34" s="16"/>
      <c r="D34" s="4">
        <f t="shared" ref="D34:O34" si="5">IFERROR(D33/D10, 0)</f>
        <v>0</v>
      </c>
      <c r="E34" s="4">
        <f t="shared" si="5"/>
        <v>0</v>
      </c>
      <c r="F34" s="4">
        <f t="shared" si="5"/>
        <v>0</v>
      </c>
      <c r="G34" s="4">
        <f t="shared" si="5"/>
        <v>-1.5757449282974274</v>
      </c>
      <c r="H34" s="4">
        <f t="shared" si="5"/>
        <v>-4.135605253816127E-2</v>
      </c>
      <c r="I34" s="4">
        <f t="shared" si="5"/>
        <v>-0.88875083338384131</v>
      </c>
      <c r="J34" s="4">
        <f t="shared" si="5"/>
        <v>0</v>
      </c>
      <c r="K34" s="4">
        <f t="shared" si="5"/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18"/>
      <c r="Q34" s="4">
        <f>IFERROR(Q33/Q10, 0)</f>
        <v>-2.1981237414595407</v>
      </c>
    </row>
    <row r="35" spans="1:17" x14ac:dyDescent="0.3">
      <c r="A35" s="5"/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3">
      <c r="A36" s="25"/>
      <c r="B36" s="6" t="s">
        <v>125</v>
      </c>
      <c r="C36" s="6"/>
      <c r="D36" s="3"/>
      <c r="E36" s="3"/>
      <c r="F36" s="3"/>
      <c r="G36" s="3">
        <v>492.98</v>
      </c>
      <c r="H36" s="3">
        <v>189.49</v>
      </c>
      <c r="I36" s="3">
        <v>205.82</v>
      </c>
      <c r="J36" s="3"/>
      <c r="K36" s="3"/>
      <c r="L36" s="3"/>
      <c r="M36" s="3"/>
      <c r="N36" s="3"/>
      <c r="O36" s="3"/>
      <c r="Q36" s="2">
        <f>SUM(OSRRefD28_0x)+IFERROR(SUM(OSRRefE28_0x),0)</f>
        <v>888.29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" thickBot="1" x14ac:dyDescent="0.35">
      <c r="A38" s="6"/>
      <c r="B38" s="17" t="s">
        <v>124</v>
      </c>
      <c r="C38" s="17"/>
      <c r="D38" s="8">
        <f t="shared" ref="D38:O38" si="6">IFERROR(+D33-D36, 0)</f>
        <v>33.82000000000005</v>
      </c>
      <c r="E38" s="8">
        <f t="shared" si="6"/>
        <v>-1000.91</v>
      </c>
      <c r="F38" s="8">
        <f t="shared" si="6"/>
        <v>-1000.91</v>
      </c>
      <c r="G38" s="8">
        <f t="shared" si="6"/>
        <v>-7213.2800000000007</v>
      </c>
      <c r="H38" s="8">
        <f t="shared" si="6"/>
        <v>-250.07000000000016</v>
      </c>
      <c r="I38" s="8">
        <f t="shared" si="6"/>
        <v>-1672.1699999999998</v>
      </c>
      <c r="J38" s="8">
        <f t="shared" si="6"/>
        <v>-1001</v>
      </c>
      <c r="K38" s="8">
        <f t="shared" si="6"/>
        <v>-1001</v>
      </c>
      <c r="L38" s="8">
        <f t="shared" si="6"/>
        <v>-1001</v>
      </c>
      <c r="M38" s="8">
        <f t="shared" si="6"/>
        <v>-1001</v>
      </c>
      <c r="N38" s="8">
        <f t="shared" si="6"/>
        <v>-1001</v>
      </c>
      <c r="O38" s="8">
        <f t="shared" si="6"/>
        <v>-1001</v>
      </c>
      <c r="Q38" s="8">
        <f>IFERROR(+Q33-Q36, 0)</f>
        <v>-17109.519999999997</v>
      </c>
    </row>
    <row r="39" spans="1:17" ht="15" thickTop="1" x14ac:dyDescent="0.3">
      <c r="A39" s="5"/>
      <c r="B39" s="5"/>
      <c r="C39" s="5"/>
      <c r="D39" s="4">
        <f t="shared" ref="D39:O39" si="7">IFERROR(D38/D10, 0)</f>
        <v>0</v>
      </c>
      <c r="E39" s="4">
        <f t="shared" si="7"/>
        <v>0</v>
      </c>
      <c r="F39" s="4">
        <f t="shared" si="7"/>
        <v>0</v>
      </c>
      <c r="G39" s="4">
        <f t="shared" si="7"/>
        <v>-1.6913366034833663</v>
      </c>
      <c r="H39" s="4">
        <f t="shared" si="7"/>
        <v>-0.17071489036345278</v>
      </c>
      <c r="I39" s="4">
        <f t="shared" si="7"/>
        <v>-1.0134977877447116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 t="shared" si="7"/>
        <v>0</v>
      </c>
      <c r="P39" s="18"/>
      <c r="Q39" s="4">
        <f>IFERROR(Q38/Q10, 0)</f>
        <v>-2.3184950905065054</v>
      </c>
    </row>
    <row r="40" spans="1:17" x14ac:dyDescent="0.3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x14ac:dyDescent="0.3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ht="15" thickBot="1" x14ac:dyDescent="0.35">
      <c r="A42" s="6"/>
      <c r="B42" s="17" t="s">
        <v>294</v>
      </c>
      <c r="C42" s="17"/>
      <c r="D42" s="8">
        <f t="shared" ref="D42:O42" si="8">IFERROR(SUM(D38:D41), 0)</f>
        <v>33.82000000000005</v>
      </c>
      <c r="E42" s="8">
        <f t="shared" si="8"/>
        <v>-1000.91</v>
      </c>
      <c r="F42" s="8">
        <f t="shared" si="8"/>
        <v>-1000.91</v>
      </c>
      <c r="G42" s="8">
        <f t="shared" si="8"/>
        <v>-7214.9713366034839</v>
      </c>
      <c r="H42" s="8">
        <f t="shared" si="8"/>
        <v>-250.24071489036362</v>
      </c>
      <c r="I42" s="8">
        <f t="shared" si="8"/>
        <v>-1673.1834977877445</v>
      </c>
      <c r="J42" s="8">
        <f t="shared" si="8"/>
        <v>-1001</v>
      </c>
      <c r="K42" s="8">
        <f t="shared" si="8"/>
        <v>-1001</v>
      </c>
      <c r="L42" s="8">
        <f t="shared" si="8"/>
        <v>-1001</v>
      </c>
      <c r="M42" s="8">
        <f t="shared" si="8"/>
        <v>-1001</v>
      </c>
      <c r="N42" s="8">
        <f t="shared" si="8"/>
        <v>-1001</v>
      </c>
      <c r="O42" s="8">
        <f t="shared" si="8"/>
        <v>-1001</v>
      </c>
      <c r="Q42" s="8">
        <f>IFERROR(SUM(Q38:Q41), 0)</f>
        <v>-17111.838495090502</v>
      </c>
    </row>
    <row r="43" spans="1:17" ht="15" thickTop="1" x14ac:dyDescent="0.3">
      <c r="A43" s="5"/>
      <c r="C43" s="5"/>
      <c r="D43" s="4">
        <f t="shared" ref="D43:O43" si="9">IFERROR(D42/D10, 0)</f>
        <v>0</v>
      </c>
      <c r="E43" s="4">
        <f t="shared" si="9"/>
        <v>0</v>
      </c>
      <c r="F43" s="4">
        <f t="shared" si="9"/>
        <v>0</v>
      </c>
      <c r="G43" s="4">
        <f t="shared" si="9"/>
        <v>-1.6917331802842506</v>
      </c>
      <c r="H43" s="4">
        <f t="shared" si="9"/>
        <v>-0.17083143202695422</v>
      </c>
      <c r="I43" s="4">
        <f t="shared" si="9"/>
        <v>-1.0141120660571818</v>
      </c>
      <c r="J43" s="4">
        <f t="shared" si="9"/>
        <v>0</v>
      </c>
      <c r="K43" s="4">
        <f t="shared" si="9"/>
        <v>0</v>
      </c>
      <c r="L43" s="4">
        <f t="shared" si="9"/>
        <v>0</v>
      </c>
      <c r="M43" s="4">
        <f t="shared" si="9"/>
        <v>0</v>
      </c>
      <c r="N43" s="4">
        <f t="shared" si="9"/>
        <v>0</v>
      </c>
      <c r="O43" s="4">
        <f t="shared" si="9"/>
        <v>0</v>
      </c>
      <c r="P43" s="18"/>
      <c r="Q43" s="4">
        <f>IFERROR(Q42/Q10, 0)</f>
        <v>-2.3188092676128589</v>
      </c>
    </row>
    <row r="44" spans="1:17" x14ac:dyDescent="0.3">
      <c r="A44" s="5"/>
      <c r="B44" s="28">
        <v>44575.850692245367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  <row r="45" spans="1:17" x14ac:dyDescent="0.3">
      <c r="A45" s="5"/>
      <c r="B45" s="26" t="s">
        <v>54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Q45" s="13"/>
    </row>
    <row r="46" spans="1:17" x14ac:dyDescent="0.3">
      <c r="A46" s="5"/>
      <c r="B46" s="3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Q46" s="13"/>
    </row>
    <row r="47" spans="1:17" x14ac:dyDescent="0.3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Q4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1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181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483224.21</v>
      </c>
      <c r="F10" s="3">
        <f>SUM(OSRRefD11x_2)</f>
        <v>1426594.0100000002</v>
      </c>
      <c r="G10" s="3">
        <f>SUM(OSRRefD11x_3)</f>
        <v>1610098.55</v>
      </c>
      <c r="H10" s="3">
        <f>SUM(OSRRefD11x_4)</f>
        <v>1285214.1499999999</v>
      </c>
      <c r="I10" s="3">
        <f>SUM(OSRRefD11x_5)</f>
        <v>964831.3600000001</v>
      </c>
      <c r="J10" s="3">
        <f>SUM(OSRRefE11x_0)</f>
        <v>443520</v>
      </c>
      <c r="K10" s="3">
        <f>SUM(OSRRefE11x_1)</f>
        <v>1128960</v>
      </c>
      <c r="L10" s="3">
        <f>SUM(OSRRefE11x_2)</f>
        <v>1088640</v>
      </c>
      <c r="M10" s="3">
        <f>SUM(OSRRefE11x_3)</f>
        <v>1088640</v>
      </c>
      <c r="N10" s="3">
        <f>SUM(OSRRefE11x_4)</f>
        <v>604800</v>
      </c>
      <c r="O10" s="3">
        <f>SUM(OSRRefE11x_5)</f>
        <v>0</v>
      </c>
      <c r="P10" s="24"/>
      <c r="Q10" s="3">
        <f>SUM(OSRRefG11x)</f>
        <v>10147509.630000001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>--106.64</f>
        <v>106.64</v>
      </c>
      <c r="E11" s="2">
        <f>--384.19</f>
        <v>384.19</v>
      </c>
      <c r="F11" s="2">
        <f>--644.1</f>
        <v>644.1</v>
      </c>
      <c r="G11" s="2">
        <f>--645.73</f>
        <v>645.73</v>
      </c>
      <c r="H11" s="2">
        <f>--488.67</f>
        <v>488.67</v>
      </c>
      <c r="I11" s="2">
        <f>--314.54</f>
        <v>314.54000000000002</v>
      </c>
      <c r="J11" s="2"/>
      <c r="K11" s="2"/>
      <c r="L11" s="2"/>
      <c r="M11" s="2"/>
      <c r="N11" s="2"/>
      <c r="O11" s="2"/>
      <c r="Q11" s="2">
        <f>SUM(OSRRefD11_0x)+IFERROR(SUM(OSRRefE11_0x),0)</f>
        <v>2583.87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ref="D12:I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443520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4354560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>--19600</f>
        <v>19600</v>
      </c>
      <c r="E13" s="2">
        <f>--467052.71</f>
        <v>467052.71</v>
      </c>
      <c r="F13" s="2">
        <f>--1412740.6</f>
        <v>1412740.6</v>
      </c>
      <c r="G13" s="2">
        <f>--1597325.45</f>
        <v>1597325.45</v>
      </c>
      <c r="H13" s="2">
        <f>--1278360.35</f>
        <v>1278360.3500000001</v>
      </c>
      <c r="I13" s="2">
        <f>--958820.66</f>
        <v>958820.66</v>
      </c>
      <c r="J13" s="2"/>
      <c r="K13" s="2"/>
      <c r="L13" s="2"/>
      <c r="M13" s="2"/>
      <c r="N13" s="2"/>
      <c r="O13" s="2"/>
      <c r="Q13" s="2">
        <f>SUM(OSRRefD11_2x)+IFERROR(SUM(OSRRefE11_2x),0)</f>
        <v>5733899.7699999996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>--3280.71</f>
        <v>3280.71</v>
      </c>
      <c r="E14" s="2">
        <f>--15787.31</f>
        <v>15787.31</v>
      </c>
      <c r="F14" s="2">
        <f>--13209.31</f>
        <v>13209.31</v>
      </c>
      <c r="G14" s="2">
        <f>--12127.37</f>
        <v>12127.37</v>
      </c>
      <c r="H14" s="2">
        <f>--6365.13</f>
        <v>6365.13</v>
      </c>
      <c r="I14" s="2">
        <f>--5696.16</f>
        <v>5696.16</v>
      </c>
      <c r="J14" s="2"/>
      <c r="K14" s="2"/>
      <c r="L14" s="2"/>
      <c r="M14" s="2"/>
      <c r="N14" s="2"/>
      <c r="O14" s="2"/>
      <c r="Q14" s="2">
        <f>SUM(OSRRefD11_3x)+IFERROR(SUM(OSRRefE11_3x),0)</f>
        <v>56465.990000000005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17128.84</v>
      </c>
      <c r="E16" s="3">
        <f>SUM(OSRRefD14x_1)</f>
        <v>175207.4</v>
      </c>
      <c r="F16" s="3">
        <f>SUM(OSRRefD14x_2)</f>
        <v>356896.83</v>
      </c>
      <c r="G16" s="3">
        <f>SUM(OSRRefD14x_3)</f>
        <v>446975.07</v>
      </c>
      <c r="H16" s="3">
        <f>SUM(OSRRefD14x_4)</f>
        <v>282361.28000000003</v>
      </c>
      <c r="I16" s="3">
        <f>SUM(OSRRefD14x_5)</f>
        <v>225578.85</v>
      </c>
      <c r="J16" s="3">
        <f>SUM(OSRRefE14x_0)</f>
        <v>130363</v>
      </c>
      <c r="K16" s="3">
        <f>SUM(OSRRefE14x_1)</f>
        <v>291110</v>
      </c>
      <c r="L16" s="3">
        <f>SUM(OSRRefE14x_2)</f>
        <v>291406</v>
      </c>
      <c r="M16" s="3">
        <f>SUM(OSRRefE14x_3)</f>
        <v>291406</v>
      </c>
      <c r="N16" s="3">
        <f>SUM(OSRRefE14x_4)</f>
        <v>172611</v>
      </c>
      <c r="O16" s="3">
        <f>SUM(OSRRefE14x_5)</f>
        <v>0</v>
      </c>
      <c r="Q16" s="3">
        <f>SUM(OSRRefG14x)</f>
        <v>2681044.27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130363</v>
      </c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1176896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17968.84</v>
      </c>
      <c r="E18" s="2">
        <v>219629.4</v>
      </c>
      <c r="F18" s="2">
        <v>370814.83</v>
      </c>
      <c r="G18" s="2">
        <v>444320.13</v>
      </c>
      <c r="H18" s="2">
        <v>278066.28000000003</v>
      </c>
      <c r="I18" s="2">
        <v>180607.85</v>
      </c>
      <c r="J18" s="2"/>
      <c r="K18" s="2"/>
      <c r="L18" s="2"/>
      <c r="M18" s="2"/>
      <c r="N18" s="2"/>
      <c r="O18" s="2"/>
      <c r="Q18" s="2">
        <f>SUM(OSRRefD14_1x)+IFERROR(SUM(OSRRefE14_1x),0)</f>
        <v>1511407.3300000003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-840</v>
      </c>
      <c r="E19" s="2">
        <v>-44422</v>
      </c>
      <c r="F19" s="2">
        <v>-13918</v>
      </c>
      <c r="G19" s="2">
        <v>2654.94</v>
      </c>
      <c r="H19" s="2">
        <v>4295</v>
      </c>
      <c r="I19" s="2">
        <v>44971</v>
      </c>
      <c r="J19" s="2"/>
      <c r="K19" s="2"/>
      <c r="L19" s="2"/>
      <c r="M19" s="2"/>
      <c r="N19" s="2"/>
      <c r="O19" s="2"/>
      <c r="Q19" s="2">
        <f>SUM(OSRRefD14_2x)+IFERROR(SUM(OSRRefE14_2x),0)</f>
        <v>-7259.0599999999977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308016.81000000006</v>
      </c>
      <c r="F21" s="7">
        <f t="shared" si="1"/>
        <v>1069697.1800000002</v>
      </c>
      <c r="G21" s="7">
        <f t="shared" si="1"/>
        <v>1163123.48</v>
      </c>
      <c r="H21" s="7">
        <f t="shared" si="1"/>
        <v>1002852.8699999999</v>
      </c>
      <c r="I21" s="7">
        <f t="shared" si="1"/>
        <v>739252.51000000013</v>
      </c>
      <c r="J21" s="7">
        <f t="shared" si="1"/>
        <v>313157</v>
      </c>
      <c r="K21" s="7">
        <f t="shared" si="1"/>
        <v>837850</v>
      </c>
      <c r="L21" s="7">
        <f t="shared" si="1"/>
        <v>797234</v>
      </c>
      <c r="M21" s="7">
        <f t="shared" si="1"/>
        <v>797234</v>
      </c>
      <c r="N21" s="7">
        <f t="shared" si="1"/>
        <v>432189</v>
      </c>
      <c r="O21" s="7">
        <f t="shared" si="1"/>
        <v>0</v>
      </c>
      <c r="Q21" s="7">
        <f>IFERROR(+Q10-Q16, 0)</f>
        <v>7466465.3600000013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0.63742007048860416</v>
      </c>
      <c r="F22" s="4">
        <f t="shared" si="2"/>
        <v>0.74982592980325213</v>
      </c>
      <c r="G22" s="4">
        <f t="shared" si="2"/>
        <v>0.7223927255881325</v>
      </c>
      <c r="H22" s="4">
        <f t="shared" si="2"/>
        <v>0.78030020911301046</v>
      </c>
      <c r="I22" s="4">
        <f t="shared" si="2"/>
        <v>0.76619867538302244</v>
      </c>
      <c r="J22" s="4">
        <f t="shared" si="2"/>
        <v>0.70607187950937955</v>
      </c>
      <c r="K22" s="4">
        <f t="shared" si="2"/>
        <v>0.74214321145124718</v>
      </c>
      <c r="L22" s="4">
        <f t="shared" si="2"/>
        <v>0.73232106114050555</v>
      </c>
      <c r="M22" s="4">
        <f t="shared" si="2"/>
        <v>0.73232106114050555</v>
      </c>
      <c r="N22" s="4">
        <f t="shared" si="2"/>
        <v>0.71459821428571424</v>
      </c>
      <c r="O22" s="4">
        <f t="shared" si="2"/>
        <v>0</v>
      </c>
      <c r="P22" s="18"/>
      <c r="Q22" s="4">
        <f>IFERROR(Q21/Q10, 0)</f>
        <v>0.73579288241582097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194629.89</v>
      </c>
      <c r="E24" s="12">
        <f>SUM(OSRRefD20x_1)</f>
        <v>313685.63</v>
      </c>
      <c r="F24" s="12">
        <f>SUM(OSRRefD20x_2)</f>
        <v>499575.27</v>
      </c>
      <c r="G24" s="12">
        <f>SUM(OSRRefD20x_3)</f>
        <v>751485.87000000011</v>
      </c>
      <c r="H24" s="12">
        <f>SUM(OSRRefD20x_4)</f>
        <v>483116.44999999995</v>
      </c>
      <c r="I24" s="12">
        <f>SUM(OSRRefD20x_5)</f>
        <v>456769.11999999994</v>
      </c>
      <c r="J24" s="12">
        <f>SUM(OSRRefE20x_0)</f>
        <v>504909.95429658255</v>
      </c>
      <c r="K24" s="12">
        <f>SUM(OSRRefE20x_1)</f>
        <v>562773.47823726607</v>
      </c>
      <c r="L24" s="12">
        <f>SUM(OSRRefE20x_2)</f>
        <v>558082.47823726607</v>
      </c>
      <c r="M24" s="12">
        <f>SUM(OSRRefE20x_3)</f>
        <v>616510.01829658262</v>
      </c>
      <c r="N24" s="12">
        <f>SUM(OSRRefE20x_4)</f>
        <v>432654.93823726603</v>
      </c>
      <c r="O24" s="12">
        <f>SUM(OSRRefE20x_5)</f>
        <v>278265.06823726604</v>
      </c>
      <c r="Q24" s="12">
        <f>SUM(OSRRefG20x)</f>
        <v>5652458.1655422281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SUM(OSRRefD21_0x_1)</f>
        <v>75970.11</v>
      </c>
      <c r="F25" s="1">
        <f>SUM(OSRRefD21_0x_2)</f>
        <v>87088.51999999999</v>
      </c>
      <c r="G25" s="1">
        <f>SUM(OSRRefD21_0x_3)</f>
        <v>106577.24000000002</v>
      </c>
      <c r="H25" s="1">
        <f>SUM(OSRRefD21_0x_4)</f>
        <v>88817.62000000001</v>
      </c>
      <c r="I25" s="1">
        <f>SUM(OSRRefD21_0x_5)</f>
        <v>84916.609999999986</v>
      </c>
      <c r="J25" s="1">
        <f>SUM(OSRRefE21_0x_0)</f>
        <v>124537.751104275</v>
      </c>
      <c r="K25" s="1">
        <f>SUM(OSRRefE21_0x_1)</f>
        <v>108635.02928341995</v>
      </c>
      <c r="L25" s="1">
        <f>SUM(OSRRefE21_0x_2)</f>
        <v>108635.02928341995</v>
      </c>
      <c r="M25" s="1">
        <f>SUM(OSRRefE21_0x_3)</f>
        <v>128675.56310427502</v>
      </c>
      <c r="N25" s="1">
        <f>SUM(OSRRefE21_0x_4)</f>
        <v>102294.70128341994</v>
      </c>
      <c r="O25" s="1">
        <f>SUM(OSRRefE21_0x_5)</f>
        <v>95598.633283419957</v>
      </c>
      <c r="Q25" s="2">
        <f>SUM(OSRRefD20_0x)+IFERROR(SUM(OSRRefE20_0x),0)</f>
        <v>1179546.3273422299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9598.31</v>
      </c>
      <c r="F26" s="2">
        <v>13826.34</v>
      </c>
      <c r="G26" s="2">
        <v>19505.12</v>
      </c>
      <c r="H26" s="2">
        <v>12270.83</v>
      </c>
      <c r="I26" s="2">
        <v>10959.95</v>
      </c>
      <c r="J26" s="2">
        <v>14536.486302351899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146038.0307722298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4432.8599999999997</v>
      </c>
      <c r="F27" s="2">
        <v>7712.05</v>
      </c>
      <c r="G27" s="2">
        <v>12766.42</v>
      </c>
      <c r="H27" s="2">
        <v>8701.2900000000009</v>
      </c>
      <c r="I27" s="2">
        <v>8041.97</v>
      </c>
      <c r="J27" s="2">
        <v>10570.9747878654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104412.74150890003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42155.33</v>
      </c>
      <c r="F28" s="2">
        <v>44538.95</v>
      </c>
      <c r="G28" s="2">
        <v>42320.72</v>
      </c>
      <c r="H28" s="2">
        <v>44984.33</v>
      </c>
      <c r="I28" s="2">
        <v>44247.77</v>
      </c>
      <c r="J28" s="2">
        <v>73881.615384615405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654322.87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320.16000000000003</v>
      </c>
      <c r="F29" s="2">
        <v>556.99</v>
      </c>
      <c r="G29" s="2">
        <v>922</v>
      </c>
      <c r="H29" s="2">
        <v>628.42999999999995</v>
      </c>
      <c r="I29" s="2">
        <v>580.82000000000005</v>
      </c>
      <c r="J29" s="2">
        <v>585.72683521153897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6538.0981311000014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3736.04</v>
      </c>
      <c r="F30" s="2">
        <v>4130.42</v>
      </c>
      <c r="G30" s="2">
        <v>5901.82</v>
      </c>
      <c r="H30" s="2">
        <v>4016.61</v>
      </c>
      <c r="I30" s="2">
        <v>4076.1</v>
      </c>
      <c r="J30" s="2">
        <v>4818.8604096153904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50456.594130000012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>
        <v>2188.98</v>
      </c>
      <c r="F32" s="2">
        <v>1146.68</v>
      </c>
      <c r="G32" s="2">
        <v>1868.11</v>
      </c>
      <c r="H32" s="2">
        <v>1804.57</v>
      </c>
      <c r="I32" s="2">
        <v>1654.25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9944.23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6724.79</v>
      </c>
      <c r="F33" s="2">
        <v>7138.07</v>
      </c>
      <c r="G33" s="2">
        <v>10096.67</v>
      </c>
      <c r="H33" s="2">
        <v>6734.06</v>
      </c>
      <c r="I33" s="2">
        <v>6996.26</v>
      </c>
      <c r="J33" s="2">
        <v>7101.5818173076896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80648.155449999991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4503.7</v>
      </c>
      <c r="F34" s="2">
        <v>5110.76</v>
      </c>
      <c r="G34" s="2">
        <v>7690.77</v>
      </c>
      <c r="H34" s="2">
        <v>5405.14</v>
      </c>
      <c r="I34" s="2">
        <v>5283.9</v>
      </c>
      <c r="J34" s="2">
        <v>8842.5055673076895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81625.517349999995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2309.94</v>
      </c>
      <c r="F35" s="2">
        <v>2928.26</v>
      </c>
      <c r="G35" s="2">
        <v>5505.61</v>
      </c>
      <c r="H35" s="2">
        <v>4272.3599999999997</v>
      </c>
      <c r="I35" s="2">
        <v>3075.59</v>
      </c>
      <c r="J35" s="2">
        <v>4200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45560.09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SUM(OSRRefD21_1x_1)</f>
        <v>141227.35</v>
      </c>
      <c r="F36" s="1">
        <f>SUM(OSRRefD21_1x_2)</f>
        <v>226549.39</v>
      </c>
      <c r="G36" s="1">
        <f>SUM(OSRRefD21_1x_3)</f>
        <v>389551.13999999996</v>
      </c>
      <c r="H36" s="1">
        <f>SUM(OSRRefD21_1x_4)</f>
        <v>237992.63</v>
      </c>
      <c r="I36" s="1">
        <f>SUM(OSRRefD21_1x_5)</f>
        <v>239115.61000000002</v>
      </c>
      <c r="J36" s="1">
        <f>SUM(OSRRefE21_1x_0)</f>
        <v>264300.20319230756</v>
      </c>
      <c r="K36" s="1">
        <f>SUM(OSRRefE21_1x_1)</f>
        <v>286151.44895384612</v>
      </c>
      <c r="L36" s="1">
        <f>SUM(OSRRefE21_1x_2)</f>
        <v>286151.44895384612</v>
      </c>
      <c r="M36" s="1">
        <f>SUM(OSRRefE21_1x_3)</f>
        <v>321638.45519230759</v>
      </c>
      <c r="N36" s="1">
        <f>SUM(OSRRefE21_1x_4)</f>
        <v>208691.23695384609</v>
      </c>
      <c r="O36" s="1">
        <f>SUM(OSRRefE21_1x_5)</f>
        <v>125964.4349538461</v>
      </c>
      <c r="Q36" s="2">
        <f>SUM(OSRRefD20_1x)+IFERROR(SUM(OSRRefE20_1x),0)</f>
        <v>2827528.8881999995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8959.5400000000009</v>
      </c>
      <c r="F37" s="2">
        <v>7615.56</v>
      </c>
      <c r="G37" s="2">
        <v>11199.31</v>
      </c>
      <c r="H37" s="2">
        <v>7920.23</v>
      </c>
      <c r="I37" s="2">
        <v>8852.02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55746.200000000012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31411.62</v>
      </c>
      <c r="F38" s="2">
        <v>41093.839999999997</v>
      </c>
      <c r="G38" s="2">
        <v>47299.56</v>
      </c>
      <c r="H38" s="2">
        <v>35697.699999999997</v>
      </c>
      <c r="I38" s="2">
        <v>34123.4</v>
      </c>
      <c r="J38" s="2">
        <v>52786.5991923076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499239.87579999957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48819.7</v>
      </c>
      <c r="F40" s="2">
        <v>91722.87</v>
      </c>
      <c r="G40" s="2">
        <v>132784.60999999999</v>
      </c>
      <c r="H40" s="2">
        <v>83293.38</v>
      </c>
      <c r="I40" s="2">
        <v>66624.19</v>
      </c>
      <c r="J40" s="2">
        <v>124648.432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1079286.4864000001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11047.7</v>
      </c>
      <c r="F41" s="2">
        <v>37175.72</v>
      </c>
      <c r="G41" s="2">
        <v>125531.29</v>
      </c>
      <c r="H41" s="2">
        <v>25419.83</v>
      </c>
      <c r="I41" s="2">
        <v>45152.2</v>
      </c>
      <c r="J41" s="2">
        <v>18198.169999999998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360371.67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39359.33</v>
      </c>
      <c r="F43" s="2">
        <v>45983.199999999997</v>
      </c>
      <c r="G43" s="2">
        <v>59069.15</v>
      </c>
      <c r="H43" s="2">
        <v>59538.400000000001</v>
      </c>
      <c r="I43" s="2">
        <v>53341.760000000002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268068.63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2958.2</v>
      </c>
      <c r="G44" s="2">
        <v>13667.22</v>
      </c>
      <c r="H44" s="2">
        <v>26123.09</v>
      </c>
      <c r="I44" s="2">
        <v>31022.04</v>
      </c>
      <c r="J44" s="2">
        <v>68667.001999999993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564816.02600000007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SUM(OSRRefD21_2x_1)</f>
        <v>1971.2</v>
      </c>
      <c r="F47" s="1">
        <f>SUM(OSRRefD21_2x_2)</f>
        <v>732.76</v>
      </c>
      <c r="G47" s="1">
        <f>SUM(OSRRefD21_2x_3)</f>
        <v>45</v>
      </c>
      <c r="H47" s="1">
        <f>SUM(OSRRefD21_2x_4)</f>
        <v>123.48</v>
      </c>
      <c r="I47" s="1">
        <f>SUM(OSRRefD21_2x_5)</f>
        <v>204.12</v>
      </c>
      <c r="J47" s="1">
        <f>SUM(OSRRefE21_2x_0)</f>
        <v>1319</v>
      </c>
      <c r="K47" s="1">
        <f>SUM(OSRRefE21_2x_1)</f>
        <v>1319</v>
      </c>
      <c r="L47" s="1">
        <f>SUM(OSRRefE21_2x_2)</f>
        <v>1319</v>
      </c>
      <c r="M47" s="1">
        <f>SUM(OSRRefE21_2x_3)</f>
        <v>1319</v>
      </c>
      <c r="N47" s="1">
        <f>SUM(OSRRefE21_2x_4)</f>
        <v>1319</v>
      </c>
      <c r="O47" s="1">
        <f>SUM(OSRRefE21_2x_5)</f>
        <v>969</v>
      </c>
      <c r="Q47" s="2">
        <f>SUM(OSRRefD20_2x)+IFERROR(SUM(OSRRefE20_2x),0)</f>
        <v>10761.5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1971.2</v>
      </c>
      <c r="F48" s="2">
        <v>732.76</v>
      </c>
      <c r="G48" s="2">
        <v>45</v>
      </c>
      <c r="H48" s="2">
        <v>123.48</v>
      </c>
      <c r="I48" s="2">
        <v>204.12</v>
      </c>
      <c r="J48" s="2">
        <v>1319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10761.5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SUM(OSRRefD21_3x_4)</f>
        <v>-8</v>
      </c>
      <c r="I49" s="1">
        <f>SUM(OSRRefD21_3x_5)</f>
        <v>0</v>
      </c>
      <c r="J49" s="1">
        <f>SUM(OSRRefE21_3x_0)</f>
        <v>33</v>
      </c>
      <c r="K49" s="1">
        <f>SUM(OSRRefE21_3x_1)</f>
        <v>33</v>
      </c>
      <c r="L49" s="1">
        <f>SUM(OSRRefE21_3x_2)</f>
        <v>33</v>
      </c>
      <c r="M49" s="1">
        <f>SUM(OSRRefE21_3x_3)</f>
        <v>33</v>
      </c>
      <c r="N49" s="1">
        <f>SUM(OSRRefE21_3x_4)</f>
        <v>33</v>
      </c>
      <c r="O49" s="1">
        <f>SUM(OSRRefE21_3x_5)</f>
        <v>15</v>
      </c>
      <c r="Q49" s="2">
        <f>SUM(OSRRefD20_3x)+IFERROR(SUM(OSRRefE20_3x),0)</f>
        <v>156.1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-8</v>
      </c>
      <c r="I50" s="2"/>
      <c r="J50" s="2">
        <v>33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156.1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121.67</v>
      </c>
      <c r="F51" s="1">
        <f>SUM(OSRRefD21_4x_2)</f>
        <v>162.44</v>
      </c>
      <c r="G51" s="1">
        <f>SUM(OSRRefD21_4x_3)</f>
        <v>154.16</v>
      </c>
      <c r="H51" s="1">
        <f>SUM(OSRRefD21_4x_4)</f>
        <v>123.53</v>
      </c>
      <c r="I51" s="1">
        <f>SUM(OSRRefD21_4x_5)</f>
        <v>204.84</v>
      </c>
      <c r="J51" s="1">
        <f>SUM(OSRRefE21_4x_0)</f>
        <v>410</v>
      </c>
      <c r="K51" s="1">
        <f>SUM(OSRRefE21_4x_1)</f>
        <v>410</v>
      </c>
      <c r="L51" s="1">
        <f>SUM(OSRRefE21_4x_2)</f>
        <v>410</v>
      </c>
      <c r="M51" s="1">
        <f>SUM(OSRRefE21_4x_3)</f>
        <v>410</v>
      </c>
      <c r="N51" s="1">
        <f>SUM(OSRRefE21_4x_4)</f>
        <v>410</v>
      </c>
      <c r="O51" s="1">
        <f>SUM(OSRRefE21_4x_5)</f>
        <v>385</v>
      </c>
      <c r="Q51" s="2">
        <f>SUM(OSRRefD20_4x)+IFERROR(SUM(OSRRefE20_4x),0)</f>
        <v>3278.69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121.67</v>
      </c>
      <c r="F52" s="2">
        <v>162.44</v>
      </c>
      <c r="G52" s="2">
        <v>154.16</v>
      </c>
      <c r="H52" s="2">
        <v>123.53</v>
      </c>
      <c r="I52" s="2">
        <v>204.84</v>
      </c>
      <c r="J52" s="2">
        <v>410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3278.69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SUM(OSRRefD21_5x_1)</f>
        <v>760.04</v>
      </c>
      <c r="F53" s="1">
        <f>SUM(OSRRefD21_5x_2)</f>
        <v>760.04</v>
      </c>
      <c r="G53" s="1">
        <f>SUM(OSRRefD21_5x_3)</f>
        <v>760.04</v>
      </c>
      <c r="H53" s="1">
        <f>SUM(OSRRefD21_5x_4)</f>
        <v>760.04</v>
      </c>
      <c r="I53" s="1">
        <f>SUM(OSRRefD21_5x_5)</f>
        <v>760.04</v>
      </c>
      <c r="J53" s="1">
        <f>SUM(OSRRefE21_5x_0)</f>
        <v>486</v>
      </c>
      <c r="K53" s="1">
        <f>SUM(OSRRefE21_5x_1)</f>
        <v>486</v>
      </c>
      <c r="L53" s="1">
        <f>SUM(OSRRefE21_5x_2)</f>
        <v>486</v>
      </c>
      <c r="M53" s="1">
        <f>SUM(OSRRefE21_5x_3)</f>
        <v>486</v>
      </c>
      <c r="N53" s="1">
        <f>SUM(OSRRefE21_5x_4)</f>
        <v>486</v>
      </c>
      <c r="O53" s="1">
        <f>SUM(OSRRefE21_5x_5)</f>
        <v>486</v>
      </c>
      <c r="Q53" s="2">
        <f>SUM(OSRRefD20_5x)+IFERROR(SUM(OSRRefE20_5x),0)</f>
        <v>7476.24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760.04</v>
      </c>
      <c r="F54" s="2">
        <v>760.04</v>
      </c>
      <c r="G54" s="2">
        <v>760.04</v>
      </c>
      <c r="H54" s="2">
        <v>760.04</v>
      </c>
      <c r="I54" s="2">
        <v>760.04</v>
      </c>
      <c r="J54" s="2">
        <v>486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7476.24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4261.5600000000004</v>
      </c>
      <c r="F55" s="1">
        <f>SUM(OSRRefD21_6x_2)</f>
        <v>9653.6200000000008</v>
      </c>
      <c r="G55" s="1">
        <f>SUM(OSRRefD21_6x_3)</f>
        <v>10498.56</v>
      </c>
      <c r="H55" s="1">
        <f>SUM(OSRRefD21_6x_4)</f>
        <v>8398.85</v>
      </c>
      <c r="I55" s="1">
        <f>SUM(OSRRefD21_6x_5)</f>
        <v>3782.41</v>
      </c>
      <c r="J55" s="1">
        <f>SUM(OSRRefE21_6x_0)</f>
        <v>15500</v>
      </c>
      <c r="K55" s="1">
        <f>SUM(OSRRefE21_6x_1)</f>
        <v>15500</v>
      </c>
      <c r="L55" s="1">
        <f>SUM(OSRRefE21_6x_2)</f>
        <v>15500</v>
      </c>
      <c r="M55" s="1">
        <f>SUM(OSRRefE21_6x_3)</f>
        <v>15500</v>
      </c>
      <c r="N55" s="1">
        <f>SUM(OSRRefE21_6x_4)</f>
        <v>15500</v>
      </c>
      <c r="O55" s="1">
        <f>SUM(OSRRefE21_6x_5)</f>
        <v>0</v>
      </c>
      <c r="Q55" s="2">
        <f>SUM(OSRRefD20_6x)+IFERROR(SUM(OSRRefE20_6x),0)</f>
        <v>114095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4261.5600000000004</v>
      </c>
      <c r="F56" s="2">
        <v>9653.6200000000008</v>
      </c>
      <c r="G56" s="2">
        <v>10498.56</v>
      </c>
      <c r="H56" s="2">
        <v>8398.85</v>
      </c>
      <c r="I56" s="2">
        <v>3782.41</v>
      </c>
      <c r="J56" s="2">
        <v>15500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114095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SUM(OSRRefD21_7x_4)</f>
        <v>34.47</v>
      </c>
      <c r="I57" s="1">
        <f>SUM(OSRRefD21_7x_5)</f>
        <v>113.4</v>
      </c>
      <c r="J57" s="1">
        <f>SUM(OSRRefE21_7x_0)</f>
        <v>200</v>
      </c>
      <c r="K57" s="1">
        <f>SUM(OSRRefE21_7x_1)</f>
        <v>200</v>
      </c>
      <c r="L57" s="1">
        <f>SUM(OSRRefE21_7x_2)</f>
        <v>200</v>
      </c>
      <c r="M57" s="1">
        <f>SUM(OSRRefE21_7x_3)</f>
        <v>200</v>
      </c>
      <c r="N57" s="1">
        <f>SUM(OSRRefE21_7x_4)</f>
        <v>400</v>
      </c>
      <c r="O57" s="1">
        <f>SUM(OSRRefE21_7x_5)</f>
        <v>200</v>
      </c>
      <c r="Q57" s="2">
        <f>SUM(OSRRefD20_7x)+IFERROR(SUM(OSRRefE20_7x),0)</f>
        <v>1562.3600000000001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>
        <v>34.47</v>
      </c>
      <c r="I58" s="2">
        <v>113.4</v>
      </c>
      <c r="J58" s="2">
        <v>200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1562.3600000000001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SUM(OSRRefD21_8x_1)</f>
        <v>4032.6</v>
      </c>
      <c r="F59" s="1">
        <f>SUM(OSRRefD21_8x_2)</f>
        <v>320.2</v>
      </c>
      <c r="G59" s="1">
        <f>SUM(OSRRefD21_8x_3)</f>
        <v>1589.46</v>
      </c>
      <c r="H59" s="1">
        <f>SUM(OSRRefD21_8x_4)</f>
        <v>601.92999999999995</v>
      </c>
      <c r="I59" s="1">
        <f>SUM(OSRRefD21_8x_5)</f>
        <v>862.99</v>
      </c>
      <c r="J59" s="1">
        <f>SUM(OSRRefE21_8x_0)</f>
        <v>795</v>
      </c>
      <c r="K59" s="1">
        <f>SUM(OSRRefE21_8x_1)</f>
        <v>795</v>
      </c>
      <c r="L59" s="1">
        <f>SUM(OSRRefE21_8x_2)</f>
        <v>795</v>
      </c>
      <c r="M59" s="1">
        <f>SUM(OSRRefE21_8x_3)</f>
        <v>795</v>
      </c>
      <c r="N59" s="1">
        <f>SUM(OSRRefE21_8x_4)</f>
        <v>795</v>
      </c>
      <c r="O59" s="1">
        <f>SUM(OSRRefE21_8x_5)</f>
        <v>795</v>
      </c>
      <c r="Q59" s="2">
        <f>SUM(OSRRefD20_8x)+IFERROR(SUM(OSRRefE20_8x),0)</f>
        <v>13034.710000000001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4032.6</v>
      </c>
      <c r="F60" s="2">
        <v>320.2</v>
      </c>
      <c r="G60" s="2">
        <v>1589.46</v>
      </c>
      <c r="H60" s="2">
        <v>601.92999999999995</v>
      </c>
      <c r="I60" s="2">
        <v>862.99</v>
      </c>
      <c r="J60" s="2">
        <v>795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13034.710000000001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SUM(OSRRefD21_9x_1)</f>
        <v>5273.65</v>
      </c>
      <c r="F61" s="1">
        <f>SUM(OSRRefD21_9x_2)</f>
        <v>5273</v>
      </c>
      <c r="G61" s="1">
        <f>SUM(OSRRefD21_9x_3)</f>
        <v>297.61</v>
      </c>
      <c r="H61" s="1">
        <f>SUM(OSRRefD21_9x_4)</f>
        <v>0</v>
      </c>
      <c r="I61" s="1">
        <f>SUM(OSRRefD21_9x_5)</f>
        <v>0</v>
      </c>
      <c r="J61" s="1">
        <f>SUM(OSRRefE21_9x_0)</f>
        <v>530</v>
      </c>
      <c r="K61" s="1">
        <f>SUM(OSRRefE21_9x_1)</f>
        <v>530</v>
      </c>
      <c r="L61" s="1">
        <f>SUM(OSRRefE21_9x_2)</f>
        <v>1140</v>
      </c>
      <c r="M61" s="1">
        <f>SUM(OSRRefE21_9x_3)</f>
        <v>540</v>
      </c>
      <c r="N61" s="1">
        <f>SUM(OSRRefE21_9x_4)</f>
        <v>540</v>
      </c>
      <c r="O61" s="1">
        <f>SUM(OSRRefE21_9x_5)</f>
        <v>540</v>
      </c>
      <c r="Q61" s="2">
        <f>SUM(OSRRefD20_9x)+IFERROR(SUM(OSRRefE20_9x),0)</f>
        <v>14992.71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5273.65</v>
      </c>
      <c r="F62" s="2">
        <v>5273</v>
      </c>
      <c r="G62" s="2">
        <v>297.61</v>
      </c>
      <c r="H62" s="2"/>
      <c r="I62" s="2"/>
      <c r="J62" s="2">
        <v>530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14992.71</v>
      </c>
    </row>
    <row r="63" spans="1:17" s="35" customFormat="1" collapsed="1" x14ac:dyDescent="0.3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SUM(OSRRefD21_10x_1)</f>
        <v>5.21</v>
      </c>
      <c r="F63" s="1">
        <f>SUM(OSRRefD21_10x_2)</f>
        <v>5.21</v>
      </c>
      <c r="G63" s="1">
        <f>SUM(OSRRefD21_10x_3)</f>
        <v>5.21</v>
      </c>
      <c r="H63" s="1">
        <f>SUM(OSRRefD21_10x_4)</f>
        <v>5.21</v>
      </c>
      <c r="I63" s="1">
        <f>SUM(OSRRefD21_10x_5)</f>
        <v>5.21</v>
      </c>
      <c r="J63" s="1">
        <f>SUM(OSRRefE21_10x_0)</f>
        <v>10</v>
      </c>
      <c r="K63" s="1">
        <f>SUM(OSRRefE21_10x_1)</f>
        <v>10</v>
      </c>
      <c r="L63" s="1">
        <f>SUM(OSRRefE21_10x_2)</f>
        <v>10</v>
      </c>
      <c r="M63" s="1">
        <f>SUM(OSRRefE21_10x_3)</f>
        <v>10</v>
      </c>
      <c r="N63" s="1">
        <f>SUM(OSRRefE21_10x_4)</f>
        <v>10</v>
      </c>
      <c r="O63" s="1">
        <f>SUM(OSRRefE21_10x_5)</f>
        <v>10</v>
      </c>
      <c r="Q63" s="2">
        <f>SUM(OSRRefD20_10x)+IFERROR(SUM(OSRRefE20_10x),0)</f>
        <v>91.27000000000001</v>
      </c>
    </row>
    <row r="64" spans="1:17" s="35" customFormat="1" hidden="1" outlineLevel="1" x14ac:dyDescent="0.3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5.21</v>
      </c>
      <c r="F64" s="2">
        <v>5.21</v>
      </c>
      <c r="G64" s="2">
        <v>5.21</v>
      </c>
      <c r="H64" s="2">
        <v>5.21</v>
      </c>
      <c r="I64" s="2">
        <v>5.21</v>
      </c>
      <c r="J64" s="2">
        <v>10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91.27000000000001</v>
      </c>
    </row>
    <row r="65" spans="1:17" s="35" customFormat="1" collapsed="1" x14ac:dyDescent="0.3">
      <c r="A65" s="34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SUM(OSRRefD21_11x_1)</f>
        <v>38588</v>
      </c>
      <c r="F65" s="1">
        <f>SUM(OSRRefD21_11x_2)</f>
        <v>102646.99</v>
      </c>
      <c r="G65" s="1">
        <f>SUM(OSRRefD21_11x_3)</f>
        <v>127967.99</v>
      </c>
      <c r="H65" s="1">
        <f>SUM(OSRRefD21_11x_4)</f>
        <v>102145.22</v>
      </c>
      <c r="I65" s="1">
        <f>SUM(OSRRefD21_11x_5)</f>
        <v>76752.539999999994</v>
      </c>
      <c r="J65" s="1">
        <f>SUM(OSRRefE21_11x_0)</f>
        <v>35482</v>
      </c>
      <c r="K65" s="1">
        <f>SUM(OSRRefE21_11x_1)</f>
        <v>90317</v>
      </c>
      <c r="L65" s="1">
        <f>SUM(OSRRefE21_11x_2)</f>
        <v>87091</v>
      </c>
      <c r="M65" s="1">
        <f>SUM(OSRRefE21_11x_3)</f>
        <v>87091</v>
      </c>
      <c r="N65" s="1">
        <f>SUM(OSRRefE21_11x_4)</f>
        <v>44064</v>
      </c>
      <c r="O65" s="1">
        <f>SUM(OSRRefE21_11x_5)</f>
        <v>0</v>
      </c>
      <c r="Q65" s="2">
        <f>SUM(OSRRefD20_11x)+IFERROR(SUM(OSRRefE20_11x),0)</f>
        <v>793713.74</v>
      </c>
    </row>
    <row r="66" spans="1:17" s="35" customFormat="1" hidden="1" outlineLevel="1" x14ac:dyDescent="0.3">
      <c r="A66" s="34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38588</v>
      </c>
      <c r="F66" s="2">
        <v>102646.99</v>
      </c>
      <c r="G66" s="2">
        <v>127967.99</v>
      </c>
      <c r="H66" s="2">
        <v>102145.22</v>
      </c>
      <c r="I66" s="2">
        <v>76752.539999999994</v>
      </c>
      <c r="J66" s="2">
        <v>35482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793713.74</v>
      </c>
    </row>
    <row r="67" spans="1:17" s="35" customFormat="1" collapsed="1" x14ac:dyDescent="0.3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SUM(OSRRefD21_12x_1)</f>
        <v>3542.3</v>
      </c>
      <c r="F67" s="1">
        <f>SUM(OSRRefD21_12x_2)</f>
        <v>3767.52</v>
      </c>
      <c r="G67" s="1">
        <f>SUM(OSRRefD21_12x_3)</f>
        <v>6998.3099999999995</v>
      </c>
      <c r="H67" s="1">
        <f>SUM(OSRRefD21_12x_4)</f>
        <v>3855.79</v>
      </c>
      <c r="I67" s="1">
        <f>SUM(OSRRefD21_12x_5)</f>
        <v>4201.8500000000004</v>
      </c>
      <c r="J67" s="1">
        <f>SUM(OSRRefE21_12x_0)</f>
        <v>7550</v>
      </c>
      <c r="K67" s="1">
        <f>SUM(OSRRefE21_12x_1)</f>
        <v>5850</v>
      </c>
      <c r="L67" s="1">
        <f>SUM(OSRRefE21_12x_2)</f>
        <v>4050</v>
      </c>
      <c r="M67" s="1">
        <f>SUM(OSRRefE21_12x_3)</f>
        <v>7550</v>
      </c>
      <c r="N67" s="1">
        <f>SUM(OSRRefE21_12x_4)</f>
        <v>5850</v>
      </c>
      <c r="O67" s="1">
        <f>SUM(OSRRefE21_12x_5)</f>
        <v>4050</v>
      </c>
      <c r="Q67" s="2">
        <f>SUM(OSRRefD20_12x)+IFERROR(SUM(OSRRefE20_12x),0)</f>
        <v>61394.77</v>
      </c>
    </row>
    <row r="68" spans="1:17" s="35" customFormat="1" hidden="1" outlineLevel="1" x14ac:dyDescent="0.3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5" customFormat="1" hidden="1" outlineLevel="1" x14ac:dyDescent="0.3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/>
      <c r="F69" s="2">
        <v>239.52</v>
      </c>
      <c r="G69" s="2">
        <v>57.15</v>
      </c>
      <c r="H69" s="2">
        <v>26.75</v>
      </c>
      <c r="I69" s="2">
        <v>267.97000000000003</v>
      </c>
      <c r="J69" s="2">
        <v>3500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11205.39</v>
      </c>
    </row>
    <row r="70" spans="1:17" s="35" customFormat="1" hidden="1" outlineLevel="1" x14ac:dyDescent="0.3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42.3</v>
      </c>
      <c r="F70" s="2">
        <v>28</v>
      </c>
      <c r="G70" s="2">
        <v>3441.16</v>
      </c>
      <c r="H70" s="2">
        <v>329.04</v>
      </c>
      <c r="I70" s="2">
        <v>433.88</v>
      </c>
      <c r="J70" s="2">
        <v>550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8189.38</v>
      </c>
    </row>
    <row r="71" spans="1:17" s="35" customFormat="1" collapsed="1" x14ac:dyDescent="0.3">
      <c r="A71" s="34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SUM(OSRRefD21_13x_1)</f>
        <v>13804.32</v>
      </c>
      <c r="F71" s="1">
        <f>SUM(OSRRefD21_13x_2)</f>
        <v>13095.319999999998</v>
      </c>
      <c r="G71" s="1">
        <f>SUM(OSRRefD21_13x_3)</f>
        <v>23044.839999999997</v>
      </c>
      <c r="H71" s="1">
        <f>SUM(OSRRefD21_13x_4)</f>
        <v>18897.68</v>
      </c>
      <c r="I71" s="1">
        <f>SUM(OSRRefD21_13x_5)</f>
        <v>15346.34</v>
      </c>
      <c r="J71" s="1">
        <f>SUM(OSRRefE21_13x_0)</f>
        <v>21796</v>
      </c>
      <c r="K71" s="1">
        <f>SUM(OSRRefE21_13x_1)</f>
        <v>21796</v>
      </c>
      <c r="L71" s="1">
        <f>SUM(OSRRefE21_13x_2)</f>
        <v>21796</v>
      </c>
      <c r="M71" s="1">
        <f>SUM(OSRRefE21_13x_3)</f>
        <v>21796</v>
      </c>
      <c r="N71" s="1">
        <f>SUM(OSRRefE21_13x_4)</f>
        <v>21796</v>
      </c>
      <c r="O71" s="1">
        <f>SUM(OSRRefE21_13x_5)</f>
        <v>21792</v>
      </c>
      <c r="Q71" s="2">
        <f>SUM(OSRRefD20_13x)+IFERROR(SUM(OSRRefE20_13x),0)</f>
        <v>228039.41999999998</v>
      </c>
    </row>
    <row r="72" spans="1:17" s="35" customFormat="1" hidden="1" outlineLevel="1" x14ac:dyDescent="0.3">
      <c r="A72" s="34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421.34</v>
      </c>
      <c r="F72" s="2">
        <v>2336.4699999999998</v>
      </c>
      <c r="G72" s="2">
        <v>3420.53</v>
      </c>
      <c r="H72" s="2">
        <v>1705.73</v>
      </c>
      <c r="I72" s="2">
        <v>459.25</v>
      </c>
      <c r="J72" s="2">
        <v>1570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19271.82</v>
      </c>
    </row>
    <row r="73" spans="1:17" s="35" customFormat="1" hidden="1" outlineLevel="1" x14ac:dyDescent="0.3">
      <c r="A73" s="34"/>
      <c r="B73" s="10" t="str">
        <f>CONCATENATE("          ","6284", " - ","TRASH REMOVAL EXPENSE")</f>
        <v xml:space="preserve">          6284 - TRASH REMOVAL EXPENSE</v>
      </c>
      <c r="C73" s="14"/>
      <c r="D73" s="2"/>
      <c r="E73" s="2"/>
      <c r="F73" s="2"/>
      <c r="G73" s="2"/>
      <c r="H73" s="2"/>
      <c r="I73" s="2"/>
      <c r="J73" s="2">
        <v>600</v>
      </c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3600</v>
      </c>
    </row>
    <row r="74" spans="1:17" s="35" customFormat="1" hidden="1" outlineLevel="1" x14ac:dyDescent="0.3">
      <c r="A74" s="34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11040.09</v>
      </c>
      <c r="F74" s="2">
        <v>9589.0499999999993</v>
      </c>
      <c r="G74" s="2">
        <v>13068.05</v>
      </c>
      <c r="H74" s="2">
        <v>14771.9</v>
      </c>
      <c r="I74" s="2">
        <v>13631.9</v>
      </c>
      <c r="J74" s="2">
        <v>14859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161902.18</v>
      </c>
    </row>
    <row r="75" spans="1:17" s="35" customFormat="1" hidden="1" outlineLevel="1" x14ac:dyDescent="0.3">
      <c r="A75" s="34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2342.89</v>
      </c>
      <c r="F75" s="2">
        <v>1169.8</v>
      </c>
      <c r="G75" s="2">
        <v>6556.26</v>
      </c>
      <c r="H75" s="2">
        <v>2420.0500000000002</v>
      </c>
      <c r="I75" s="2">
        <v>1255.19</v>
      </c>
      <c r="J75" s="2">
        <v>4767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43265.42</v>
      </c>
    </row>
    <row r="76" spans="1:17" s="35" customFormat="1" collapsed="1" x14ac:dyDescent="0.3">
      <c r="A76" s="34"/>
      <c r="B76" s="14" t="str">
        <f>CONCATENATE("     ","Supplies                                          ")</f>
        <v xml:space="preserve">     Supplies                                          </v>
      </c>
      <c r="C76" s="14"/>
      <c r="D76" s="1">
        <f>SUM(OSRRefD21_14x_0)</f>
        <v>5210.6799999999994</v>
      </c>
      <c r="E76" s="1">
        <f>SUM(OSRRefD21_14x_1)</f>
        <v>22909.620000000003</v>
      </c>
      <c r="F76" s="1">
        <f>SUM(OSRRefD21_14x_2)</f>
        <v>48540.799999999996</v>
      </c>
      <c r="G76" s="1">
        <f>SUM(OSRRefD21_14x_3)</f>
        <v>82763.31</v>
      </c>
      <c r="H76" s="1">
        <f>SUM(OSRRefD21_14x_4)</f>
        <v>20353</v>
      </c>
      <c r="I76" s="1">
        <f>SUM(OSRRefD21_14x_5)</f>
        <v>29394.16</v>
      </c>
      <c r="J76" s="1">
        <f>SUM(OSRRefE21_14x_0)</f>
        <v>29700</v>
      </c>
      <c r="K76" s="1">
        <f>SUM(OSRRefE21_14x_1)</f>
        <v>29500</v>
      </c>
      <c r="L76" s="1">
        <f>SUM(OSRRefE21_14x_2)</f>
        <v>29250</v>
      </c>
      <c r="M76" s="1">
        <f>SUM(OSRRefE21_14x_3)</f>
        <v>29250</v>
      </c>
      <c r="N76" s="1">
        <f>SUM(OSRRefE21_14x_4)</f>
        <v>29250</v>
      </c>
      <c r="O76" s="1">
        <f>SUM(OSRRefE21_14x_5)</f>
        <v>25240</v>
      </c>
      <c r="Q76" s="2">
        <f>SUM(OSRRefD20_14x)+IFERROR(SUM(OSRRefE20_14x),0)</f>
        <v>381361.57</v>
      </c>
    </row>
    <row r="77" spans="1:17" s="35" customFormat="1" hidden="1" outlineLevel="1" x14ac:dyDescent="0.3">
      <c r="A77" s="34"/>
      <c r="B77" s="10" t="str">
        <f>CONCATENATE("          ","6234", " - ","EXPENDABLE SUPPLIES &amp; EQUIPMEN")</f>
        <v xml:space="preserve">          6234 - EXPENDABLE SUPPLIES &amp; EQUIPMEN</v>
      </c>
      <c r="C77" s="14"/>
      <c r="D77" s="2"/>
      <c r="E77" s="2"/>
      <c r="F77" s="2">
        <v>21.98</v>
      </c>
      <c r="G77" s="2"/>
      <c r="H77" s="2"/>
      <c r="I77" s="2">
        <v>315</v>
      </c>
      <c r="J77" s="2">
        <v>342</v>
      </c>
      <c r="K77" s="2">
        <v>342</v>
      </c>
      <c r="L77" s="2">
        <v>342</v>
      </c>
      <c r="M77" s="2">
        <v>342</v>
      </c>
      <c r="N77" s="2">
        <v>342</v>
      </c>
      <c r="O77" s="2">
        <v>338</v>
      </c>
      <c r="P77" s="9"/>
      <c r="Q77" s="2">
        <f>SUM(OSRRefD21_14_0x)+IFERROR(SUM(OSRRefE21_14_0x),0)</f>
        <v>2384.98</v>
      </c>
    </row>
    <row r="78" spans="1:17" s="35" customFormat="1" hidden="1" outlineLevel="1" x14ac:dyDescent="0.3">
      <c r="A78" s="34"/>
      <c r="B78" s="10" t="str">
        <f>CONCATENATE("          ","6237", " - ","JANITORIAL SUPPLIES")</f>
        <v xml:space="preserve">          6237 - JANITORIAL SUPPLIES</v>
      </c>
      <c r="C78" s="14"/>
      <c r="D78" s="2">
        <v>3701.95</v>
      </c>
      <c r="E78" s="2">
        <v>2430.13</v>
      </c>
      <c r="F78" s="2">
        <v>11902.26</v>
      </c>
      <c r="G78" s="2">
        <v>4968.0200000000004</v>
      </c>
      <c r="H78" s="2">
        <v>4059.52</v>
      </c>
      <c r="I78" s="2">
        <v>4735.74</v>
      </c>
      <c r="J78" s="2">
        <v>9750</v>
      </c>
      <c r="K78" s="2">
        <v>9750</v>
      </c>
      <c r="L78" s="2">
        <v>9750</v>
      </c>
      <c r="M78" s="2">
        <v>9750</v>
      </c>
      <c r="N78" s="2">
        <v>9750</v>
      </c>
      <c r="O78" s="2">
        <v>7750</v>
      </c>
      <c r="P78" s="9"/>
      <c r="Q78" s="2">
        <f>SUM(OSRRefD21_14_1x)+IFERROR(SUM(OSRRefE21_14_1x),0)</f>
        <v>88297.62</v>
      </c>
    </row>
    <row r="79" spans="1:17" s="35" customFormat="1" hidden="1" outlineLevel="1" x14ac:dyDescent="0.3">
      <c r="A79" s="34"/>
      <c r="B79" s="10" t="str">
        <f>CONCATENATE("          ","6239", " - ","KITCHEN SUPPLIES")</f>
        <v xml:space="preserve">          6239 - KITCHEN SUPPLIES</v>
      </c>
      <c r="C79" s="14"/>
      <c r="D79" s="2"/>
      <c r="E79" s="2">
        <v>2851.2</v>
      </c>
      <c r="F79" s="2">
        <v>10197.49</v>
      </c>
      <c r="G79" s="2">
        <v>10072.879999999999</v>
      </c>
      <c r="H79" s="2">
        <v>871.69</v>
      </c>
      <c r="I79" s="2">
        <v>166.67</v>
      </c>
      <c r="J79" s="2">
        <v>3750</v>
      </c>
      <c r="K79" s="2">
        <v>3550</v>
      </c>
      <c r="L79" s="2">
        <v>3300</v>
      </c>
      <c r="M79" s="2">
        <v>3300</v>
      </c>
      <c r="N79" s="2">
        <v>3300</v>
      </c>
      <c r="O79" s="2">
        <v>3300</v>
      </c>
      <c r="P79" s="9"/>
      <c r="Q79" s="2">
        <f>SUM(OSRRefD21_14_2x)+IFERROR(SUM(OSRRefE21_14_2x),0)</f>
        <v>44659.929999999993</v>
      </c>
    </row>
    <row r="80" spans="1:17" s="35" customFormat="1" hidden="1" outlineLevel="1" x14ac:dyDescent="0.3">
      <c r="A80" s="34"/>
      <c r="B80" s="10" t="str">
        <f>CONCATENATE("          ","6241", " - ","OFFICE EXPENSE")</f>
        <v xml:space="preserve">          6241 - OFFICE EXPENSE</v>
      </c>
      <c r="C80" s="14"/>
      <c r="D80" s="2">
        <v>445.66</v>
      </c>
      <c r="E80" s="2">
        <v>3278.6</v>
      </c>
      <c r="F80" s="2">
        <v>2610.11</v>
      </c>
      <c r="G80" s="2">
        <v>4282.01</v>
      </c>
      <c r="H80" s="2">
        <v>566.19000000000005</v>
      </c>
      <c r="I80" s="2">
        <v>2479.64</v>
      </c>
      <c r="J80" s="2">
        <v>1445</v>
      </c>
      <c r="K80" s="2">
        <v>1445</v>
      </c>
      <c r="L80" s="2">
        <v>1445</v>
      </c>
      <c r="M80" s="2">
        <v>1445</v>
      </c>
      <c r="N80" s="2">
        <v>1445</v>
      </c>
      <c r="O80" s="2">
        <v>1445</v>
      </c>
      <c r="P80" s="9"/>
      <c r="Q80" s="2">
        <f>SUM(OSRRefD21_14_3x)+IFERROR(SUM(OSRRefE21_14_3x),0)</f>
        <v>22332.21</v>
      </c>
    </row>
    <row r="81" spans="1:17" s="35" customFormat="1" hidden="1" outlineLevel="1" x14ac:dyDescent="0.3">
      <c r="A81" s="34"/>
      <c r="B81" s="10" t="str">
        <f>CONCATENATE("          ","6243", " - ","PAPER SUPPLIES")</f>
        <v xml:space="preserve">          6243 - PAPER SUPPLIES</v>
      </c>
      <c r="C81" s="14"/>
      <c r="D81" s="2">
        <v>1063.07</v>
      </c>
      <c r="E81" s="2">
        <v>14349.69</v>
      </c>
      <c r="F81" s="2">
        <v>23426.94</v>
      </c>
      <c r="G81" s="2">
        <v>57587.39</v>
      </c>
      <c r="H81" s="2">
        <v>14679.37</v>
      </c>
      <c r="I81" s="2">
        <v>21252.43</v>
      </c>
      <c r="J81" s="2">
        <v>13300</v>
      </c>
      <c r="K81" s="2">
        <v>13300</v>
      </c>
      <c r="L81" s="2">
        <v>13300</v>
      </c>
      <c r="M81" s="2">
        <v>13300</v>
      </c>
      <c r="N81" s="2">
        <v>13300</v>
      </c>
      <c r="O81" s="2">
        <v>11300</v>
      </c>
      <c r="P81" s="9"/>
      <c r="Q81" s="2">
        <f>SUM(OSRRefD21_14_4x)+IFERROR(SUM(OSRRefE21_14_4x),0)</f>
        <v>210158.88999999998</v>
      </c>
    </row>
    <row r="82" spans="1:17" s="35" customFormat="1" hidden="1" outlineLevel="1" x14ac:dyDescent="0.3">
      <c r="A82" s="34"/>
      <c r="B82" s="10" t="str">
        <f>CONCATENATE("          ","6244", " - ","SAFETY SUPPLY EXPENSE")</f>
        <v xml:space="preserve">          6244 - SAFETY SUPPLY EXPENSE</v>
      </c>
      <c r="C82" s="14"/>
      <c r="D82" s="2"/>
      <c r="E82" s="2"/>
      <c r="F82" s="2"/>
      <c r="G82" s="2"/>
      <c r="H82" s="2"/>
      <c r="I82" s="2"/>
      <c r="J82" s="2">
        <v>525</v>
      </c>
      <c r="K82" s="2">
        <v>525</v>
      </c>
      <c r="L82" s="2">
        <v>525</v>
      </c>
      <c r="M82" s="2">
        <v>525</v>
      </c>
      <c r="N82" s="2">
        <v>525</v>
      </c>
      <c r="O82" s="2">
        <v>525</v>
      </c>
      <c r="P82" s="9"/>
      <c r="Q82" s="2">
        <f>SUM(OSRRefD21_14_5x)+IFERROR(SUM(OSRRefE21_14_5x),0)</f>
        <v>3150</v>
      </c>
    </row>
    <row r="83" spans="1:17" s="35" customFormat="1" hidden="1" outlineLevel="1" x14ac:dyDescent="0.3">
      <c r="A83" s="34"/>
      <c r="B83" s="10" t="str">
        <f>CONCATENATE("          ","6247", " - ","STORE SUPPLIES")</f>
        <v xml:space="preserve">          6247 - STORE SUPPLIES</v>
      </c>
      <c r="C83" s="14"/>
      <c r="D83" s="2"/>
      <c r="E83" s="2"/>
      <c r="F83" s="2">
        <v>382.02</v>
      </c>
      <c r="G83" s="2">
        <v>241.78</v>
      </c>
      <c r="H83" s="2">
        <v>176.23</v>
      </c>
      <c r="I83" s="2">
        <v>444.68</v>
      </c>
      <c r="J83" s="2"/>
      <c r="K83" s="2"/>
      <c r="L83" s="2"/>
      <c r="M83" s="2"/>
      <c r="N83" s="2"/>
      <c r="O83" s="2"/>
      <c r="P83" s="9"/>
      <c r="Q83" s="2">
        <f>SUM(OSRRefD21_14_6x)+IFERROR(SUM(OSRRefE21_14_6x),0)</f>
        <v>1244.71</v>
      </c>
    </row>
    <row r="84" spans="1:17" s="35" customFormat="1" hidden="1" outlineLevel="1" x14ac:dyDescent="0.3">
      <c r="A84" s="34"/>
      <c r="B84" s="10" t="str">
        <f>CONCATENATE("          ","6248", " - ","UNIFORMS")</f>
        <v xml:space="preserve">          6248 - UNIFORMS</v>
      </c>
      <c r="C84" s="14"/>
      <c r="D84" s="2"/>
      <c r="E84" s="2"/>
      <c r="F84" s="2"/>
      <c r="G84" s="2">
        <v>5611.23</v>
      </c>
      <c r="H84" s="2"/>
      <c r="I84" s="2"/>
      <c r="J84" s="2">
        <v>588</v>
      </c>
      <c r="K84" s="2">
        <v>588</v>
      </c>
      <c r="L84" s="2">
        <v>588</v>
      </c>
      <c r="M84" s="2">
        <v>588</v>
      </c>
      <c r="N84" s="2">
        <v>588</v>
      </c>
      <c r="O84" s="2">
        <v>582</v>
      </c>
      <c r="P84" s="9"/>
      <c r="Q84" s="2">
        <f>SUM(OSRRefD21_14_7x)+IFERROR(SUM(OSRRefE21_14_7x),0)</f>
        <v>9133.23</v>
      </c>
    </row>
    <row r="85" spans="1:17" s="35" customFormat="1" collapsed="1" x14ac:dyDescent="0.3">
      <c r="A85" s="34"/>
      <c r="B85" s="14" t="str">
        <f>CONCATENATE("     ","Telephone/Data Lines                              ")</f>
        <v xml:space="preserve">     Telephone/Data Lines                              </v>
      </c>
      <c r="C85" s="14"/>
      <c r="D85" s="1">
        <f>SUM(OSRRefD21_15x_0)</f>
        <v>499</v>
      </c>
      <c r="E85" s="1">
        <f>SUM(OSRRefD21_15x_1)</f>
        <v>623</v>
      </c>
      <c r="F85" s="1">
        <f>SUM(OSRRefD21_15x_2)</f>
        <v>860.85</v>
      </c>
      <c r="G85" s="1">
        <f>SUM(OSRRefD21_15x_3)</f>
        <v>1249</v>
      </c>
      <c r="H85" s="1">
        <f>SUM(OSRRefD21_15x_4)</f>
        <v>770</v>
      </c>
      <c r="I85" s="1">
        <f>SUM(OSRRefD21_15x_5)</f>
        <v>284</v>
      </c>
      <c r="J85" s="1">
        <f>SUM(OSRRefE21_15x_0)</f>
        <v>601</v>
      </c>
      <c r="K85" s="1">
        <f>SUM(OSRRefE21_15x_1)</f>
        <v>601</v>
      </c>
      <c r="L85" s="1">
        <f>SUM(OSRRefE21_15x_2)</f>
        <v>601</v>
      </c>
      <c r="M85" s="1">
        <f>SUM(OSRRefE21_15x_3)</f>
        <v>601</v>
      </c>
      <c r="N85" s="1">
        <f>SUM(OSRRefE21_15x_4)</f>
        <v>601</v>
      </c>
      <c r="O85" s="1">
        <f>SUM(OSRRefE21_15x_5)</f>
        <v>605</v>
      </c>
      <c r="Q85" s="2">
        <f>SUM(OSRRefD20_15x)+IFERROR(SUM(OSRRefE20_15x),0)</f>
        <v>7895.85</v>
      </c>
    </row>
    <row r="86" spans="1:17" s="35" customFormat="1" hidden="1" outlineLevel="1" x14ac:dyDescent="0.3">
      <c r="A86" s="34"/>
      <c r="B86" s="10" t="str">
        <f>CONCATENATE("          ","6303", " - ","DATA PHONE LINES")</f>
        <v xml:space="preserve">          6303 - DATA PHONE LINES</v>
      </c>
      <c r="C86" s="14"/>
      <c r="D86" s="2"/>
      <c r="E86" s="2"/>
      <c r="F86" s="2"/>
      <c r="G86" s="2"/>
      <c r="H86" s="2"/>
      <c r="I86" s="2"/>
      <c r="J86" s="2">
        <v>58</v>
      </c>
      <c r="K86" s="2">
        <v>58</v>
      </c>
      <c r="L86" s="2">
        <v>58</v>
      </c>
      <c r="M86" s="2">
        <v>58</v>
      </c>
      <c r="N86" s="2">
        <v>58</v>
      </c>
      <c r="O86" s="2">
        <v>62</v>
      </c>
      <c r="P86" s="9"/>
      <c r="Q86" s="2">
        <f>SUM(OSRRefD21_15_0x)+IFERROR(SUM(OSRRefE21_15_0x),0)</f>
        <v>352</v>
      </c>
    </row>
    <row r="87" spans="1:17" s="35" customFormat="1" hidden="1" outlineLevel="1" x14ac:dyDescent="0.3">
      <c r="A87" s="34"/>
      <c r="B87" s="10" t="str">
        <f>CONCATENATE("          ","6309", " - ","TELEPHONE")</f>
        <v xml:space="preserve">          6309 - TELEPHONE</v>
      </c>
      <c r="C87" s="14"/>
      <c r="D87" s="2">
        <v>499</v>
      </c>
      <c r="E87" s="2">
        <v>623</v>
      </c>
      <c r="F87" s="2">
        <v>860.85</v>
      </c>
      <c r="G87" s="2">
        <v>1249</v>
      </c>
      <c r="H87" s="2">
        <v>770</v>
      </c>
      <c r="I87" s="2">
        <v>284</v>
      </c>
      <c r="J87" s="2">
        <v>543</v>
      </c>
      <c r="K87" s="2">
        <v>543</v>
      </c>
      <c r="L87" s="2">
        <v>543</v>
      </c>
      <c r="M87" s="2">
        <v>543</v>
      </c>
      <c r="N87" s="2">
        <v>543</v>
      </c>
      <c r="O87" s="2">
        <v>543</v>
      </c>
      <c r="P87" s="9"/>
      <c r="Q87" s="2">
        <f>SUM(OSRRefD21_15_1x)+IFERROR(SUM(OSRRefE21_15_1x),0)</f>
        <v>7543.85</v>
      </c>
    </row>
    <row r="88" spans="1:17" s="35" customFormat="1" collapsed="1" x14ac:dyDescent="0.3">
      <c r="A88" s="34"/>
      <c r="B88" s="14" t="str">
        <f>CONCATENATE("     ","Training                                          ")</f>
        <v xml:space="preserve">     Training                                          </v>
      </c>
      <c r="C88" s="14"/>
      <c r="D88" s="1">
        <f>SUM(OSRRefD21_16x_0)</f>
        <v>0</v>
      </c>
      <c r="E88" s="1">
        <f>SUM(OSRRefD21_16x_1)</f>
        <v>0</v>
      </c>
      <c r="F88" s="1">
        <f>SUM(OSRRefD21_16x_2)</f>
        <v>0</v>
      </c>
      <c r="G88" s="1">
        <f>SUM(OSRRefD21_16x_3)</f>
        <v>0</v>
      </c>
      <c r="H88" s="1">
        <f>SUM(OSRRefD21_16x_4)</f>
        <v>245</v>
      </c>
      <c r="I88" s="1">
        <f>SUM(OSRRefD21_16x_5)</f>
        <v>825</v>
      </c>
      <c r="J88" s="1">
        <f>SUM(OSRRefE21_16x_0)</f>
        <v>1660</v>
      </c>
      <c r="K88" s="1">
        <f>SUM(OSRRefE21_16x_1)</f>
        <v>640</v>
      </c>
      <c r="L88" s="1">
        <f>SUM(OSRRefE21_16x_2)</f>
        <v>615</v>
      </c>
      <c r="M88" s="1">
        <f>SUM(OSRRefE21_16x_3)</f>
        <v>615</v>
      </c>
      <c r="N88" s="1">
        <f>SUM(OSRRefE21_16x_4)</f>
        <v>615</v>
      </c>
      <c r="O88" s="1">
        <f>SUM(OSRRefE21_16x_5)</f>
        <v>1615</v>
      </c>
      <c r="Q88" s="2">
        <f>SUM(OSRRefD20_16x)+IFERROR(SUM(OSRRefE20_16x),0)</f>
        <v>6830</v>
      </c>
    </row>
    <row r="89" spans="1:17" s="35" customFormat="1" hidden="1" outlineLevel="1" x14ac:dyDescent="0.3">
      <c r="A89" s="34"/>
      <c r="B89" s="10" t="str">
        <f>CONCATENATE("          ","6376", " - ","TRAINING")</f>
        <v xml:space="preserve">          6376 - TRAINING</v>
      </c>
      <c r="C89" s="14"/>
      <c r="D89" s="2"/>
      <c r="E89" s="2"/>
      <c r="F89" s="2"/>
      <c r="G89" s="2"/>
      <c r="H89" s="2">
        <v>245</v>
      </c>
      <c r="I89" s="2">
        <v>825</v>
      </c>
      <c r="J89" s="2">
        <v>1660</v>
      </c>
      <c r="K89" s="2">
        <v>640</v>
      </c>
      <c r="L89" s="2">
        <v>615</v>
      </c>
      <c r="M89" s="2">
        <v>615</v>
      </c>
      <c r="N89" s="2">
        <v>615</v>
      </c>
      <c r="O89" s="2">
        <v>1615</v>
      </c>
      <c r="P89" s="9"/>
      <c r="Q89" s="2">
        <f>SUM(OSRRefD21_16_0x)+IFERROR(SUM(OSRRefE21_16_0x),0)</f>
        <v>6830</v>
      </c>
    </row>
    <row r="90" spans="1:17" s="35" customFormat="1" collapsed="1" x14ac:dyDescent="0.3">
      <c r="A90" s="34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SUM(OSRRefD21_17x_0)</f>
        <v>0</v>
      </c>
      <c r="E90" s="1">
        <f>SUM(OSRRefD21_17x_1)</f>
        <v>595</v>
      </c>
      <c r="F90" s="1">
        <f>SUM(OSRRefD21_17x_2)</f>
        <v>104.02</v>
      </c>
      <c r="G90" s="1">
        <f>SUM(OSRRefD21_17x_3)</f>
        <v>0</v>
      </c>
      <c r="H90" s="1">
        <f>SUM(OSRRefD21_17x_4)</f>
        <v>0</v>
      </c>
      <c r="I90" s="1">
        <f>SUM(OSRRefD21_17x_5)</f>
        <v>0</v>
      </c>
      <c r="J90" s="1">
        <f>SUM(OSRRefE21_17x_0)</f>
        <v>0</v>
      </c>
      <c r="K90" s="1">
        <f>SUM(OSRRefE21_17x_1)</f>
        <v>0</v>
      </c>
      <c r="L90" s="1">
        <f>SUM(OSRRefE21_17x_2)</f>
        <v>0</v>
      </c>
      <c r="M90" s="1">
        <f>SUM(OSRRefE21_17x_3)</f>
        <v>0</v>
      </c>
      <c r="N90" s="1">
        <f>SUM(OSRRefE21_17x_4)</f>
        <v>0</v>
      </c>
      <c r="O90" s="1">
        <f>SUM(OSRRefE21_17x_5)</f>
        <v>0</v>
      </c>
      <c r="Q90" s="2">
        <f>SUM(OSRRefD20_17x)+IFERROR(SUM(OSRRefE20_17x),0)</f>
        <v>699.02</v>
      </c>
    </row>
    <row r="91" spans="1:17" s="35" customFormat="1" hidden="1" outlineLevel="1" x14ac:dyDescent="0.3">
      <c r="A91" s="34"/>
      <c r="B91" s="10" t="str">
        <f>CONCATENATE("          ","6292", " - ","TRAVEL/CONFERENCE")</f>
        <v xml:space="preserve">          6292 - TRAVEL/CONFERENCE</v>
      </c>
      <c r="C91" s="14"/>
      <c r="D91" s="2"/>
      <c r="E91" s="2">
        <v>595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SUM(OSRRefD21_17_0x)+IFERROR(SUM(OSRRefE21_17_0x),0)</f>
        <v>595</v>
      </c>
    </row>
    <row r="92" spans="1:17" s="35" customFormat="1" hidden="1" outlineLevel="1" x14ac:dyDescent="0.3">
      <c r="A92" s="34"/>
      <c r="B92" s="10" t="str">
        <f>CONCATENATE("          ","6298", " - ","VEHICLE MILEAGE")</f>
        <v xml:space="preserve">          6298 - VEHICLE MILEAGE</v>
      </c>
      <c r="C92" s="14"/>
      <c r="D92" s="2"/>
      <c r="E92" s="2"/>
      <c r="F92" s="2">
        <v>104.02</v>
      </c>
      <c r="G92" s="2"/>
      <c r="H92" s="2"/>
      <c r="I92" s="2"/>
      <c r="J92" s="2"/>
      <c r="K92" s="2"/>
      <c r="L92" s="2"/>
      <c r="M92" s="2"/>
      <c r="N92" s="2"/>
      <c r="O92" s="2"/>
      <c r="P92" s="9"/>
      <c r="Q92" s="2">
        <f>SUM(OSRRefD21_17_1x)+IFERROR(SUM(OSRRefE21_17_1x),0)</f>
        <v>104.02</v>
      </c>
    </row>
    <row r="93" spans="1:17" s="29" customFormat="1" x14ac:dyDescent="0.3">
      <c r="A93" s="21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s="9" customFormat="1" x14ac:dyDescent="0.3">
      <c r="A94" s="23"/>
      <c r="B94" s="16" t="s">
        <v>293</v>
      </c>
      <c r="C94" s="22"/>
      <c r="D94" s="3">
        <f t="shared" ref="D94:I94" si="3">0</f>
        <v>0</v>
      </c>
      <c r="E94" s="3">
        <f t="shared" si="3"/>
        <v>0</v>
      </c>
      <c r="F94" s="3">
        <f t="shared" si="3"/>
        <v>0</v>
      </c>
      <c r="G94" s="3">
        <f t="shared" si="3"/>
        <v>0</v>
      </c>
      <c r="H94" s="3">
        <f t="shared" si="3"/>
        <v>0</v>
      </c>
      <c r="I94" s="3">
        <f t="shared" si="3"/>
        <v>0</v>
      </c>
      <c r="J94" s="3"/>
      <c r="K94" s="3"/>
      <c r="L94" s="3"/>
      <c r="M94" s="3"/>
      <c r="N94" s="3"/>
      <c r="O94" s="3"/>
      <c r="Q94" s="2">
        <f>SUM(OSRRefD23_0x)+IFERROR(SUM(OSRRefE23_0x),0)</f>
        <v>0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">
      <c r="A96" s="6"/>
      <c r="B96" s="17" t="s">
        <v>276</v>
      </c>
      <c r="C96" s="17"/>
      <c r="D96" s="7">
        <f t="shared" ref="D96:O96" si="4">IFERROR(+D21-D24+D94, 0)</f>
        <v>-188771.38</v>
      </c>
      <c r="E96" s="7">
        <f t="shared" si="4"/>
        <v>-5668.8199999999488</v>
      </c>
      <c r="F96" s="7">
        <f t="shared" si="4"/>
        <v>570121.91000000015</v>
      </c>
      <c r="G96" s="7">
        <f t="shared" si="4"/>
        <v>411637.60999999987</v>
      </c>
      <c r="H96" s="7">
        <f t="shared" si="4"/>
        <v>519736.41999999993</v>
      </c>
      <c r="I96" s="7">
        <f t="shared" si="4"/>
        <v>282483.39000000019</v>
      </c>
      <c r="J96" s="7">
        <f t="shared" si="4"/>
        <v>-191752.95429658255</v>
      </c>
      <c r="K96" s="7">
        <f t="shared" si="4"/>
        <v>275076.52176273393</v>
      </c>
      <c r="L96" s="7">
        <f t="shared" si="4"/>
        <v>239151.52176273393</v>
      </c>
      <c r="M96" s="7">
        <f t="shared" si="4"/>
        <v>180723.98170341738</v>
      </c>
      <c r="N96" s="7">
        <f t="shared" si="4"/>
        <v>-465.93823726603296</v>
      </c>
      <c r="O96" s="7">
        <f t="shared" si="4"/>
        <v>-278265.06823726604</v>
      </c>
      <c r="Q96" s="7">
        <f>IFERROR(+Q21-Q24+Q94, 0)</f>
        <v>1814007.1944577731</v>
      </c>
    </row>
    <row r="97" spans="1:17" s="6" customFormat="1" x14ac:dyDescent="0.3">
      <c r="B97" s="16"/>
      <c r="C97" s="16"/>
      <c r="D97" s="4">
        <f t="shared" ref="D97:O97" si="5">IFERROR(D96/D10, 0)</f>
        <v>-8.2119678866855033</v>
      </c>
      <c r="E97" s="4">
        <f t="shared" si="5"/>
        <v>-1.173124169420226E-2</v>
      </c>
      <c r="F97" s="4">
        <f t="shared" si="5"/>
        <v>0.39963851383337862</v>
      </c>
      <c r="G97" s="4">
        <f t="shared" si="5"/>
        <v>0.25565988491822433</v>
      </c>
      <c r="H97" s="4">
        <f t="shared" si="5"/>
        <v>0.40439674586527075</v>
      </c>
      <c r="I97" s="4">
        <f t="shared" si="5"/>
        <v>0.29278006676731583</v>
      </c>
      <c r="J97" s="4">
        <f t="shared" si="5"/>
        <v>-0.43234342148399746</v>
      </c>
      <c r="K97" s="4">
        <f t="shared" si="5"/>
        <v>0.24365479889697947</v>
      </c>
      <c r="L97" s="4">
        <f t="shared" si="5"/>
        <v>0.21967916093725559</v>
      </c>
      <c r="M97" s="4">
        <f t="shared" si="5"/>
        <v>0.16600894850769526</v>
      </c>
      <c r="N97" s="4">
        <f t="shared" si="5"/>
        <v>-7.7040052458008095E-4</v>
      </c>
      <c r="O97" s="4">
        <f t="shared" si="5"/>
        <v>0</v>
      </c>
      <c r="P97" s="18"/>
      <c r="Q97" s="4">
        <f>IFERROR(Q96/Q10, 0)</f>
        <v>0.17876378151885261</v>
      </c>
    </row>
    <row r="98" spans="1:17" x14ac:dyDescent="0.3">
      <c r="A98" s="5"/>
      <c r="B98" s="6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x14ac:dyDescent="0.3">
      <c r="A99" s="25"/>
      <c r="B99" s="6" t="s">
        <v>125</v>
      </c>
      <c r="C99" s="6"/>
      <c r="D99" s="3">
        <v>10620.07</v>
      </c>
      <c r="E99" s="3">
        <v>65024.65</v>
      </c>
      <c r="F99" s="3">
        <v>163589.49</v>
      </c>
      <c r="G99" s="3">
        <v>170296.23</v>
      </c>
      <c r="H99" s="3">
        <v>165555.14000000001</v>
      </c>
      <c r="I99" s="3">
        <v>122216.38</v>
      </c>
      <c r="J99" s="3">
        <v>36719</v>
      </c>
      <c r="K99" s="3">
        <v>122893</v>
      </c>
      <c r="L99" s="3">
        <v>129739</v>
      </c>
      <c r="M99" s="3">
        <v>142767</v>
      </c>
      <c r="N99" s="3">
        <v>82806</v>
      </c>
      <c r="O99" s="3">
        <v>-93744</v>
      </c>
      <c r="Q99" s="2">
        <f>SUM(OSRRefD28_0x)+IFERROR(SUM(OSRRefE28_0x),0)</f>
        <v>1118481.96</v>
      </c>
    </row>
    <row r="100" spans="1:17" x14ac:dyDescent="0.3">
      <c r="A100" s="5"/>
      <c r="B100" s="6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35">
      <c r="A101" s="6"/>
      <c r="B101" s="17" t="s">
        <v>124</v>
      </c>
      <c r="C101" s="17"/>
      <c r="D101" s="8">
        <f t="shared" ref="D101:O101" si="6">IFERROR(+D96-D99, 0)</f>
        <v>-199391.45</v>
      </c>
      <c r="E101" s="8">
        <f t="shared" si="6"/>
        <v>-70693.469999999943</v>
      </c>
      <c r="F101" s="8">
        <f t="shared" si="6"/>
        <v>406532.42000000016</v>
      </c>
      <c r="G101" s="8">
        <f t="shared" si="6"/>
        <v>241341.37999999986</v>
      </c>
      <c r="H101" s="8">
        <f t="shared" si="6"/>
        <v>354181.27999999991</v>
      </c>
      <c r="I101" s="8">
        <f t="shared" si="6"/>
        <v>160267.01000000018</v>
      </c>
      <c r="J101" s="8">
        <f t="shared" si="6"/>
        <v>-228471.95429658255</v>
      </c>
      <c r="K101" s="8">
        <f t="shared" si="6"/>
        <v>152183.52176273393</v>
      </c>
      <c r="L101" s="8">
        <f t="shared" si="6"/>
        <v>109412.52176273393</v>
      </c>
      <c r="M101" s="8">
        <f t="shared" si="6"/>
        <v>37956.981703417376</v>
      </c>
      <c r="N101" s="8">
        <f t="shared" si="6"/>
        <v>-83271.938237266033</v>
      </c>
      <c r="O101" s="8">
        <f t="shared" si="6"/>
        <v>-184521.06823726604</v>
      </c>
      <c r="Q101" s="8">
        <f>IFERROR(+Q96-Q99, 0)</f>
        <v>695525.23445777316</v>
      </c>
    </row>
    <row r="102" spans="1:17" ht="15" thickTop="1" x14ac:dyDescent="0.3">
      <c r="A102" s="5"/>
      <c r="B102" s="5"/>
      <c r="C102" s="5"/>
      <c r="D102" s="4">
        <f t="shared" ref="D102:O102" si="7">IFERROR(D101/D10, 0)</f>
        <v>-8.6739641585480722</v>
      </c>
      <c r="E102" s="4">
        <f t="shared" si="7"/>
        <v>-0.14629538118547483</v>
      </c>
      <c r="F102" s="4">
        <f t="shared" si="7"/>
        <v>0.28496714352529778</v>
      </c>
      <c r="G102" s="4">
        <f t="shared" si="7"/>
        <v>0.14989230317610053</v>
      </c>
      <c r="H102" s="4">
        <f t="shared" si="7"/>
        <v>0.27558152857249507</v>
      </c>
      <c r="I102" s="4">
        <f t="shared" si="7"/>
        <v>0.16610883170298296</v>
      </c>
      <c r="J102" s="4">
        <f t="shared" si="7"/>
        <v>-0.51513337458645059</v>
      </c>
      <c r="K102" s="4">
        <f t="shared" si="7"/>
        <v>0.13479974645933773</v>
      </c>
      <c r="L102" s="4">
        <f t="shared" si="7"/>
        <v>0.10050385964389874</v>
      </c>
      <c r="M102" s="4">
        <f t="shared" si="7"/>
        <v>3.4866422052668815E-2</v>
      </c>
      <c r="N102" s="4">
        <f t="shared" si="7"/>
        <v>-0.13768508306426261</v>
      </c>
      <c r="O102" s="4">
        <f t="shared" si="7"/>
        <v>0</v>
      </c>
      <c r="P102" s="18"/>
      <c r="Q102" s="4">
        <f>IFERROR(Q101/Q10, 0)</f>
        <v>6.8541470746825303E-2</v>
      </c>
    </row>
    <row r="103" spans="1:17" x14ac:dyDescent="0.3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x14ac:dyDescent="0.3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" thickBot="1" x14ac:dyDescent="0.35">
      <c r="A105" s="6"/>
      <c r="B105" s="17" t="s">
        <v>294</v>
      </c>
      <c r="C105" s="17"/>
      <c r="D105" s="8">
        <f t="shared" ref="D105:O105" si="8">IFERROR(SUM(D101:D104), 0)</f>
        <v>-199400.12396415856</v>
      </c>
      <c r="E105" s="8">
        <f t="shared" si="8"/>
        <v>-70693.616295381129</v>
      </c>
      <c r="F105" s="8">
        <f t="shared" si="8"/>
        <v>406532.70496714371</v>
      </c>
      <c r="G105" s="8">
        <f t="shared" si="8"/>
        <v>241341.52989230305</v>
      </c>
      <c r="H105" s="8">
        <f t="shared" si="8"/>
        <v>354181.55558152846</v>
      </c>
      <c r="I105" s="8">
        <f t="shared" si="8"/>
        <v>160267.17610883189</v>
      </c>
      <c r="J105" s="8">
        <f t="shared" si="8"/>
        <v>-228472.46942995713</v>
      </c>
      <c r="K105" s="8">
        <f t="shared" si="8"/>
        <v>152183.65656248038</v>
      </c>
      <c r="L105" s="8">
        <f t="shared" si="8"/>
        <v>109412.62226659358</v>
      </c>
      <c r="M105" s="8">
        <f t="shared" si="8"/>
        <v>37957.016569839427</v>
      </c>
      <c r="N105" s="8">
        <f t="shared" si="8"/>
        <v>-83272.075922349104</v>
      </c>
      <c r="O105" s="8">
        <f t="shared" si="8"/>
        <v>-184521.06823726604</v>
      </c>
      <c r="Q105" s="8">
        <f>IFERROR(SUM(Q101:Q104), 0)</f>
        <v>695525.30299924396</v>
      </c>
    </row>
    <row r="106" spans="1:17" ht="15" thickTop="1" x14ac:dyDescent="0.3">
      <c r="A106" s="5"/>
      <c r="C106" s="5"/>
      <c r="D106" s="4">
        <f t="shared" ref="D106:O106" si="9">IFERROR(D105/D10, 0)</f>
        <v>-8.6743414949595561</v>
      </c>
      <c r="E106" s="4">
        <f t="shared" si="9"/>
        <v>-0.14629568393392609</v>
      </c>
      <c r="F106" s="4">
        <f t="shared" si="9"/>
        <v>0.28496734327879564</v>
      </c>
      <c r="G106" s="4">
        <f t="shared" si="9"/>
        <v>0.14989239627121151</v>
      </c>
      <c r="H106" s="4">
        <f t="shared" si="9"/>
        <v>0.27558174299709387</v>
      </c>
      <c r="I106" s="4">
        <f t="shared" si="9"/>
        <v>0.16610900386657401</v>
      </c>
      <c r="J106" s="4">
        <f t="shared" si="9"/>
        <v>-0.51513453605239257</v>
      </c>
      <c r="K106" s="4">
        <f t="shared" si="9"/>
        <v>0.13479986586104059</v>
      </c>
      <c r="L106" s="4">
        <f t="shared" si="9"/>
        <v>0.10050395196446353</v>
      </c>
      <c r="M106" s="4">
        <f t="shared" si="9"/>
        <v>3.4866454080172901E-2</v>
      </c>
      <c r="N106" s="4">
        <f t="shared" si="9"/>
        <v>-0.13768531071816981</v>
      </c>
      <c r="O106" s="4">
        <f t="shared" si="9"/>
        <v>0</v>
      </c>
      <c r="P106" s="18"/>
      <c r="Q106" s="4">
        <f>IFERROR(Q105/Q10, 0)</f>
        <v>6.8541477501336837E-2</v>
      </c>
    </row>
    <row r="107" spans="1:17" x14ac:dyDescent="0.3">
      <c r="A107" s="5"/>
      <c r="B107" s="28">
        <v>44575.85063148148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  <row r="108" spans="1:17" x14ac:dyDescent="0.3">
      <c r="A108" s="5"/>
      <c r="B108" s="26" t="s">
        <v>54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Q108" s="13"/>
    </row>
    <row r="109" spans="1:17" x14ac:dyDescent="0.3">
      <c r="A109" s="5"/>
      <c r="B109" s="31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Q109" s="13"/>
    </row>
    <row r="110" spans="1:17" x14ac:dyDescent="0.3"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Q11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","430", " - ", "Res Hall Management")</f>
        <v>Department 430 - Res Hall Management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20675.600000000002</v>
      </c>
      <c r="E17" s="12">
        <f>SUM(OSRRefD20x_1)</f>
        <v>18878.86</v>
      </c>
      <c r="F17" s="12">
        <f>SUM(OSRRefD20x_2)</f>
        <v>16881.870000000003</v>
      </c>
      <c r="G17" s="12">
        <f>SUM(OSRRefD20x_3)</f>
        <v>22630.600000000002</v>
      </c>
      <c r="H17" s="12">
        <f>SUM(OSRRefD20x_4)</f>
        <v>17012.580000000002</v>
      </c>
      <c r="I17" s="12">
        <f>SUM(OSRRefD20x_5)</f>
        <v>20870.63</v>
      </c>
      <c r="J17" s="12">
        <f>SUM(OSRRefE20x_0)</f>
        <v>20271.289565250001</v>
      </c>
      <c r="K17" s="12">
        <f>SUM(OSRRefE20x_1)</f>
        <v>17497.431652200001</v>
      </c>
      <c r="L17" s="12">
        <f>SUM(OSRRefE20x_2)</f>
        <v>17497.431652200001</v>
      </c>
      <c r="M17" s="12">
        <f>SUM(OSRRefE20x_3)</f>
        <v>20271.289565250001</v>
      </c>
      <c r="N17" s="12">
        <f>SUM(OSRRefE20x_4)</f>
        <v>17497.431652200001</v>
      </c>
      <c r="O17" s="12">
        <f>SUM(OSRRefE20x_5)</f>
        <v>17497.431652200001</v>
      </c>
      <c r="Q17" s="12">
        <f>SUM(OSRRefG20x)</f>
        <v>227482.44573930002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SUM(OSRRefD21_0x_1)</f>
        <v>5704.79</v>
      </c>
      <c r="F18" s="1">
        <f>SUM(OSRRefD21_0x_2)</f>
        <v>5691.31</v>
      </c>
      <c r="G18" s="1">
        <f>SUM(OSRRefD21_0x_3)</f>
        <v>7252.41</v>
      </c>
      <c r="H18" s="1">
        <f>SUM(OSRRefD21_0x_4)</f>
        <v>5517.35</v>
      </c>
      <c r="I18" s="1">
        <f>SUM(OSRRefD21_0x_5)</f>
        <v>5868.99</v>
      </c>
      <c r="J18" s="1">
        <f>SUM(OSRRefE21_0x_0)</f>
        <v>4889.5358152499994</v>
      </c>
      <c r="K18" s="1">
        <f>SUM(OSRRefE21_0x_1)</f>
        <v>4307.0286522000006</v>
      </c>
      <c r="L18" s="1">
        <f>SUM(OSRRefE21_0x_2)</f>
        <v>4307.0286522000006</v>
      </c>
      <c r="M18" s="1">
        <f>SUM(OSRRefE21_0x_3)</f>
        <v>4889.5358152499994</v>
      </c>
      <c r="N18" s="1">
        <f>SUM(OSRRefE21_0x_4)</f>
        <v>4307.0286522000006</v>
      </c>
      <c r="O18" s="1">
        <f>SUM(OSRRefE21_0x_5)</f>
        <v>4307.0286522000006</v>
      </c>
      <c r="Q18" s="2">
        <f>SUM(OSRRefD20_0x)+IFERROR(SUM(OSRRefE20_0x),0)</f>
        <v>62790.096239300001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691.15</v>
      </c>
      <c r="F19" s="2">
        <v>691.15</v>
      </c>
      <c r="G19" s="2">
        <v>1039.5899999999999</v>
      </c>
      <c r="H19" s="2">
        <v>718.56</v>
      </c>
      <c r="I19" s="2">
        <v>730.45</v>
      </c>
      <c r="J19" s="2">
        <v>882.65301524999995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9146.1156792999991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325.24</v>
      </c>
      <c r="F20" s="2">
        <v>325.24</v>
      </c>
      <c r="G20" s="2">
        <v>489.22</v>
      </c>
      <c r="H20" s="2">
        <v>338.15</v>
      </c>
      <c r="I20" s="2">
        <v>335.45</v>
      </c>
      <c r="J20" s="2">
        <v>437.11680749999999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4408.8473990000002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2687.98</v>
      </c>
      <c r="F21" s="2">
        <v>2699.23</v>
      </c>
      <c r="G21" s="2">
        <v>2687.98</v>
      </c>
      <c r="H21" s="2">
        <v>2687.98</v>
      </c>
      <c r="I21" s="2">
        <v>2687.98</v>
      </c>
      <c r="J21" s="2">
        <v>1977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28001.129999999997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23.49</v>
      </c>
      <c r="F22" s="2">
        <v>23.49</v>
      </c>
      <c r="G22" s="2">
        <v>35.33</v>
      </c>
      <c r="H22" s="2">
        <v>24.42</v>
      </c>
      <c r="I22" s="2">
        <v>24.23</v>
      </c>
      <c r="J22" s="2">
        <v>24.2201925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280.19500099999993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680.03</v>
      </c>
      <c r="F23" s="2">
        <v>680.03</v>
      </c>
      <c r="G23" s="2">
        <v>1020.04</v>
      </c>
      <c r="H23" s="2">
        <v>707.23</v>
      </c>
      <c r="I23" s="2">
        <v>707.23</v>
      </c>
      <c r="J23" s="2">
        <v>991.87455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9632.3376600000011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827.64</v>
      </c>
      <c r="F25" s="2">
        <v>827.64</v>
      </c>
      <c r="G25" s="2">
        <v>1241.46</v>
      </c>
      <c r="H25" s="2">
        <v>497.34</v>
      </c>
      <c r="I25" s="2">
        <v>860.74</v>
      </c>
      <c r="J25" s="2">
        <v>346.00274999999999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6881.6743000000006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413.26</v>
      </c>
      <c r="F26" s="2">
        <v>413.26</v>
      </c>
      <c r="G26" s="2">
        <v>619.89</v>
      </c>
      <c r="H26" s="2">
        <v>429.78</v>
      </c>
      <c r="I26" s="2">
        <v>429.78</v>
      </c>
      <c r="J26" s="2">
        <v>230.66849999999999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3918.7061999999996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>
        <v>56</v>
      </c>
      <c r="F27" s="2">
        <v>31.27</v>
      </c>
      <c r="G27" s="2">
        <v>118.9</v>
      </c>
      <c r="H27" s="2">
        <v>113.89</v>
      </c>
      <c r="I27" s="2">
        <v>93.13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521.09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SUM(OSRRefD21_1x_1)</f>
        <v>8959.5400000000009</v>
      </c>
      <c r="F28" s="1">
        <f>SUM(OSRRefD21_1x_2)</f>
        <v>7615.56</v>
      </c>
      <c r="G28" s="1">
        <f>SUM(OSRRefD21_1x_3)</f>
        <v>11199.31</v>
      </c>
      <c r="H28" s="1">
        <f>SUM(OSRRefD21_1x_4)</f>
        <v>7920.23</v>
      </c>
      <c r="I28" s="1">
        <f>SUM(OSRRefD21_1x_5)</f>
        <v>8852.02</v>
      </c>
      <c r="J28" s="1">
        <f>SUM(OSRRefE21_1x_0)</f>
        <v>10956.75375</v>
      </c>
      <c r="K28" s="1">
        <f>SUM(OSRRefE21_1x_1)</f>
        <v>8765.4030000000002</v>
      </c>
      <c r="L28" s="1">
        <f>SUM(OSRRefE21_1x_2)</f>
        <v>8765.4030000000002</v>
      </c>
      <c r="M28" s="1">
        <f>SUM(OSRRefE21_1x_3)</f>
        <v>10956.75375</v>
      </c>
      <c r="N28" s="1">
        <f>SUM(OSRRefE21_1x_4)</f>
        <v>8765.4030000000002</v>
      </c>
      <c r="O28" s="1">
        <f>SUM(OSRRefE21_1x_5)</f>
        <v>8765.4030000000002</v>
      </c>
      <c r="Q28" s="2">
        <f>SUM(OSRRefD20_1x)+IFERROR(SUM(OSRRefE20_1x),0)</f>
        <v>112721.31950000001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8959.5400000000009</v>
      </c>
      <c r="F29" s="2">
        <v>7615.56</v>
      </c>
      <c r="G29" s="2">
        <v>11199.31</v>
      </c>
      <c r="H29" s="2">
        <v>7920.23</v>
      </c>
      <c r="I29" s="2">
        <v>8852.02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55746.200000000012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/>
      <c r="I30" s="2"/>
      <c r="J30" s="2">
        <v>10956.75375</v>
      </c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56975.119500000001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45</v>
      </c>
      <c r="H39" s="1">
        <f>SUM(OSRRefD21_2x_4)</f>
        <v>0</v>
      </c>
      <c r="I39" s="1">
        <f>SUM(OSRRefD21_2x_5)</f>
        <v>0</v>
      </c>
      <c r="J39" s="1">
        <f>SUM(OSRRefE21_2x_0)</f>
        <v>0</v>
      </c>
      <c r="K39" s="1">
        <f>SUM(OSRRefE21_2x_1)</f>
        <v>0</v>
      </c>
      <c r="L39" s="1">
        <f>SUM(OSRRefE21_2x_2)</f>
        <v>0</v>
      </c>
      <c r="M39" s="1">
        <f>SUM(OSRRefE21_2x_3)</f>
        <v>0</v>
      </c>
      <c r="N39" s="1">
        <f>SUM(OSRRefE21_2x_4)</f>
        <v>0</v>
      </c>
      <c r="O39" s="1">
        <f>SUM(OSRRefE21_2x_5)</f>
        <v>0</v>
      </c>
      <c r="Q39" s="2">
        <f>SUM(OSRRefD20_2x)+IFERROR(SUM(OSRRefE20_2x),0)</f>
        <v>45</v>
      </c>
    </row>
    <row r="40" spans="1:17" s="35" customFormat="1" hidden="1" outlineLevel="1" x14ac:dyDescent="0.3">
      <c r="A40" s="34"/>
      <c r="B40" s="10" t="str">
        <f>CONCATENATE("          ","6362", " - ","ADVERTISING EXPENSE")</f>
        <v xml:space="preserve">          6362 - ADVERTISING EXPENSE</v>
      </c>
      <c r="C40" s="14"/>
      <c r="D40" s="2"/>
      <c r="E40" s="2"/>
      <c r="F40" s="2"/>
      <c r="G40" s="2">
        <v>45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45</v>
      </c>
    </row>
    <row r="41" spans="1:17" s="35" customFormat="1" collapsed="1" x14ac:dyDescent="0.3">
      <c r="A41" s="34"/>
      <c r="B41" s="14" t="str">
        <f>CONCATENATE("     ","General                                           ")</f>
        <v xml:space="preserve">     General                                           </v>
      </c>
      <c r="C41" s="14"/>
      <c r="D41" s="1">
        <f>SUM(OSRRefD21_3x_0)</f>
        <v>170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0</v>
      </c>
      <c r="J41" s="1">
        <f>SUM(OSRRefE21_3x_0)</f>
        <v>200</v>
      </c>
      <c r="K41" s="1">
        <f>SUM(OSRRefE21_3x_1)</f>
        <v>200</v>
      </c>
      <c r="L41" s="1">
        <f>SUM(OSRRefE21_3x_2)</f>
        <v>200</v>
      </c>
      <c r="M41" s="1">
        <f>SUM(OSRRefE21_3x_3)</f>
        <v>200</v>
      </c>
      <c r="N41" s="1">
        <f>SUM(OSRRefE21_3x_4)</f>
        <v>200</v>
      </c>
      <c r="O41" s="1">
        <f>SUM(OSRRefE21_3x_5)</f>
        <v>200</v>
      </c>
      <c r="Q41" s="2">
        <f>SUM(OSRRefD20_3x)+IFERROR(SUM(OSRRefE20_3x),0)</f>
        <v>1370</v>
      </c>
    </row>
    <row r="42" spans="1:17" s="35" customFormat="1" hidden="1" outlineLevel="1" x14ac:dyDescent="0.3">
      <c r="A42" s="34"/>
      <c r="B42" s="10" t="str">
        <f>CONCATENATE("          ","6279", " - ","GENERAL EXPENSE")</f>
        <v xml:space="preserve">          6279 - GENERAL EXPENSE</v>
      </c>
      <c r="C42" s="14"/>
      <c r="D42" s="2">
        <v>170</v>
      </c>
      <c r="E42" s="2"/>
      <c r="F42" s="2"/>
      <c r="G42" s="2"/>
      <c r="H42" s="2"/>
      <c r="I42" s="2"/>
      <c r="J42" s="2">
        <v>200</v>
      </c>
      <c r="K42" s="2">
        <v>200</v>
      </c>
      <c r="L42" s="2">
        <v>200</v>
      </c>
      <c r="M42" s="2">
        <v>200</v>
      </c>
      <c r="N42" s="2">
        <v>200</v>
      </c>
      <c r="O42" s="2">
        <v>200</v>
      </c>
      <c r="P42" s="9"/>
      <c r="Q42" s="2">
        <f>SUM(OSRRefD21_3_0x)+IFERROR(SUM(OSRRefE21_3_0x),0)</f>
        <v>1370</v>
      </c>
    </row>
    <row r="43" spans="1:17" s="35" customFormat="1" collapsed="1" x14ac:dyDescent="0.3">
      <c r="A43" s="34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3500</v>
      </c>
      <c r="E43" s="1">
        <f>SUM(OSRRefD21_4x_1)</f>
        <v>3500</v>
      </c>
      <c r="F43" s="1">
        <f>SUM(OSRRefD21_4x_2)</f>
        <v>3500</v>
      </c>
      <c r="G43" s="1">
        <f>SUM(OSRRefD21_4x_3)</f>
        <v>3500</v>
      </c>
      <c r="H43" s="1">
        <f>SUM(OSRRefD21_4x_4)</f>
        <v>3500</v>
      </c>
      <c r="I43" s="1">
        <f>SUM(OSRRefD21_4x_5)</f>
        <v>3500</v>
      </c>
      <c r="J43" s="1">
        <f>SUM(OSRRefE21_4x_0)</f>
        <v>3500</v>
      </c>
      <c r="K43" s="1">
        <f>SUM(OSRRefE21_4x_1)</f>
        <v>3500</v>
      </c>
      <c r="L43" s="1">
        <f>SUM(OSRRefE21_4x_2)</f>
        <v>3500</v>
      </c>
      <c r="M43" s="1">
        <f>SUM(OSRRefE21_4x_3)</f>
        <v>3500</v>
      </c>
      <c r="N43" s="1">
        <f>SUM(OSRRefE21_4x_4)</f>
        <v>3500</v>
      </c>
      <c r="O43" s="1">
        <f>SUM(OSRRefE21_4x_5)</f>
        <v>3500</v>
      </c>
      <c r="Q43" s="2">
        <f>SUM(OSRRefD20_4x)+IFERROR(SUM(OSRRefE20_4x),0)</f>
        <v>42000</v>
      </c>
    </row>
    <row r="44" spans="1:17" s="35" customFormat="1" hidden="1" outlineLevel="1" x14ac:dyDescent="0.3">
      <c r="A44" s="34"/>
      <c r="B44" s="10" t="str">
        <f>CONCATENATE("          ","6371", " - ","COMPUTER SOFTWARE MAINTENANCE")</f>
        <v xml:space="preserve">          6371 - COMPUTER SOFTWARE MAINTENANCE</v>
      </c>
      <c r="C44" s="14"/>
      <c r="D44" s="2">
        <v>3500</v>
      </c>
      <c r="E44" s="2">
        <v>3500</v>
      </c>
      <c r="F44" s="2">
        <v>3500</v>
      </c>
      <c r="G44" s="2">
        <v>3500</v>
      </c>
      <c r="H44" s="2">
        <v>3500</v>
      </c>
      <c r="I44" s="2">
        <v>3500</v>
      </c>
      <c r="J44" s="2">
        <v>3500</v>
      </c>
      <c r="K44" s="2">
        <v>3500</v>
      </c>
      <c r="L44" s="2">
        <v>3500</v>
      </c>
      <c r="M44" s="2">
        <v>3500</v>
      </c>
      <c r="N44" s="2">
        <v>3500</v>
      </c>
      <c r="O44" s="2">
        <v>3500</v>
      </c>
      <c r="P44" s="9"/>
      <c r="Q44" s="2">
        <f>SUM(OSRRefD21_4_0x)+IFERROR(SUM(OSRRefE21_4_0x),0)</f>
        <v>42000</v>
      </c>
    </row>
    <row r="45" spans="1:17" s="35" customFormat="1" collapsed="1" x14ac:dyDescent="0.3">
      <c r="A45" s="34"/>
      <c r="B45" s="14" t="str">
        <f>CONCATENATE("     ","Supplies                                          ")</f>
        <v xml:space="preserve">     Supplies                                          </v>
      </c>
      <c r="C45" s="14"/>
      <c r="D45" s="1">
        <f>SUM(OSRRefD21_5x_0)</f>
        <v>0</v>
      </c>
      <c r="E45" s="1">
        <f>SUM(OSRRefD21_5x_1)</f>
        <v>44.53</v>
      </c>
      <c r="F45" s="1">
        <f>SUM(OSRRefD21_5x_2)</f>
        <v>0</v>
      </c>
      <c r="G45" s="1">
        <f>SUM(OSRRefD21_5x_3)</f>
        <v>483.88</v>
      </c>
      <c r="H45" s="1">
        <f>SUM(OSRRefD21_5x_4)</f>
        <v>0</v>
      </c>
      <c r="I45" s="1">
        <f>SUM(OSRRefD21_5x_5)</f>
        <v>1824.62</v>
      </c>
      <c r="J45" s="1">
        <f>SUM(OSRRefE21_5x_0)</f>
        <v>342</v>
      </c>
      <c r="K45" s="1">
        <f>SUM(OSRRefE21_5x_1)</f>
        <v>342</v>
      </c>
      <c r="L45" s="1">
        <f>SUM(OSRRefE21_5x_2)</f>
        <v>342</v>
      </c>
      <c r="M45" s="1">
        <f>SUM(OSRRefE21_5x_3)</f>
        <v>342</v>
      </c>
      <c r="N45" s="1">
        <f>SUM(OSRRefE21_5x_4)</f>
        <v>342</v>
      </c>
      <c r="O45" s="1">
        <f>SUM(OSRRefE21_5x_5)</f>
        <v>338</v>
      </c>
      <c r="Q45" s="2">
        <f>SUM(OSRRefD20_5x)+IFERROR(SUM(OSRRefE20_5x),0)</f>
        <v>4401.03</v>
      </c>
    </row>
    <row r="46" spans="1:17" s="35" customFormat="1" hidden="1" outlineLevel="1" x14ac:dyDescent="0.3">
      <c r="A46" s="34"/>
      <c r="B46" s="10" t="str">
        <f>CONCATENATE("          ","6234", " - ","EXPENDABLE SUPPLIES &amp; EQUIPMEN")</f>
        <v xml:space="preserve">          6234 - EXPENDABLE SUPPLIES &amp; EQUIPMEN</v>
      </c>
      <c r="C46" s="14"/>
      <c r="D46" s="2"/>
      <c r="E46" s="2"/>
      <c r="F46" s="2"/>
      <c r="G46" s="2"/>
      <c r="H46" s="2"/>
      <c r="I46" s="2"/>
      <c r="J46" s="2">
        <v>342</v>
      </c>
      <c r="K46" s="2">
        <v>342</v>
      </c>
      <c r="L46" s="2">
        <v>342</v>
      </c>
      <c r="M46" s="2">
        <v>342</v>
      </c>
      <c r="N46" s="2">
        <v>342</v>
      </c>
      <c r="O46" s="2">
        <v>338</v>
      </c>
      <c r="P46" s="9"/>
      <c r="Q46" s="2">
        <f>SUM(OSRRefD21_5_0x)+IFERROR(SUM(OSRRefE21_5_0x),0)</f>
        <v>2048</v>
      </c>
    </row>
    <row r="47" spans="1:17" s="35" customFormat="1" hidden="1" outlineLevel="1" x14ac:dyDescent="0.3">
      <c r="A47" s="34"/>
      <c r="B47" s="10" t="str">
        <f>CONCATENATE("          ","6241", " - ","OFFICE EXPENSE")</f>
        <v xml:space="preserve">          6241 - OFFICE EXPENSE</v>
      </c>
      <c r="C47" s="14"/>
      <c r="D47" s="2"/>
      <c r="E47" s="2">
        <v>44.53</v>
      </c>
      <c r="F47" s="2"/>
      <c r="G47" s="2">
        <v>483.88</v>
      </c>
      <c r="H47" s="2"/>
      <c r="I47" s="2">
        <v>1824.62</v>
      </c>
      <c r="J47" s="2"/>
      <c r="K47" s="2"/>
      <c r="L47" s="2"/>
      <c r="M47" s="2"/>
      <c r="N47" s="2"/>
      <c r="O47" s="2"/>
      <c r="P47" s="9"/>
      <c r="Q47" s="2">
        <f>SUM(OSRRefD21_5_1x)+IFERROR(SUM(OSRRefE21_5_1x),0)</f>
        <v>2353.0299999999997</v>
      </c>
    </row>
    <row r="48" spans="1:17" s="35" customFormat="1" collapsed="1" x14ac:dyDescent="0.3">
      <c r="A48" s="34"/>
      <c r="B48" s="14" t="str">
        <f>CONCATENATE("     ","Telephone/Data Lines                              ")</f>
        <v xml:space="preserve">     Telephone/Data Lines                              </v>
      </c>
      <c r="C48" s="14"/>
      <c r="D48" s="1">
        <f>SUM(OSRRefD21_6x_0)</f>
        <v>58</v>
      </c>
      <c r="E48" s="1">
        <f>SUM(OSRRefD21_6x_1)</f>
        <v>75</v>
      </c>
      <c r="F48" s="1">
        <f>SUM(OSRRefD21_6x_2)</f>
        <v>75</v>
      </c>
      <c r="G48" s="1">
        <f>SUM(OSRRefD21_6x_3)</f>
        <v>150</v>
      </c>
      <c r="H48" s="1">
        <f>SUM(OSRRefD21_6x_4)</f>
        <v>75</v>
      </c>
      <c r="I48" s="1">
        <f>SUM(OSRRefD21_6x_5)</f>
        <v>0</v>
      </c>
      <c r="J48" s="1">
        <f>SUM(OSRRefE21_6x_0)</f>
        <v>83</v>
      </c>
      <c r="K48" s="1">
        <f>SUM(OSRRefE21_6x_1)</f>
        <v>83</v>
      </c>
      <c r="L48" s="1">
        <f>SUM(OSRRefE21_6x_2)</f>
        <v>83</v>
      </c>
      <c r="M48" s="1">
        <f>SUM(OSRRefE21_6x_3)</f>
        <v>83</v>
      </c>
      <c r="N48" s="1">
        <f>SUM(OSRRefE21_6x_4)</f>
        <v>83</v>
      </c>
      <c r="O48" s="1">
        <f>SUM(OSRRefE21_6x_5)</f>
        <v>87</v>
      </c>
      <c r="Q48" s="2">
        <f>SUM(OSRRefD20_6x)+IFERROR(SUM(OSRRefE20_6x),0)</f>
        <v>935</v>
      </c>
    </row>
    <row r="49" spans="1:17" s="35" customFormat="1" hidden="1" outlineLevel="1" x14ac:dyDescent="0.3">
      <c r="A49" s="34"/>
      <c r="B49" s="10" t="str">
        <f>CONCATENATE("          ","6303", " - ","DATA PHONE LINES")</f>
        <v xml:space="preserve">          6303 - DATA PHONE LINES</v>
      </c>
      <c r="C49" s="14"/>
      <c r="D49" s="2"/>
      <c r="E49" s="2"/>
      <c r="F49" s="2"/>
      <c r="G49" s="2"/>
      <c r="H49" s="2"/>
      <c r="I49" s="2"/>
      <c r="J49" s="2">
        <v>58</v>
      </c>
      <c r="K49" s="2">
        <v>58</v>
      </c>
      <c r="L49" s="2">
        <v>58</v>
      </c>
      <c r="M49" s="2">
        <v>58</v>
      </c>
      <c r="N49" s="2">
        <v>58</v>
      </c>
      <c r="O49" s="2">
        <v>62</v>
      </c>
      <c r="P49" s="9"/>
      <c r="Q49" s="2">
        <f>SUM(OSRRefD21_6_0x)+IFERROR(SUM(OSRRefE21_6_0x),0)</f>
        <v>352</v>
      </c>
    </row>
    <row r="50" spans="1:17" s="35" customFormat="1" hidden="1" outlineLevel="1" x14ac:dyDescent="0.3">
      <c r="A50" s="34"/>
      <c r="B50" s="10" t="str">
        <f>CONCATENATE("          ","6309", " - ","TELEPHONE")</f>
        <v xml:space="preserve">          6309 - TELEPHONE</v>
      </c>
      <c r="C50" s="14"/>
      <c r="D50" s="2">
        <v>58</v>
      </c>
      <c r="E50" s="2">
        <v>75</v>
      </c>
      <c r="F50" s="2">
        <v>75</v>
      </c>
      <c r="G50" s="2">
        <v>150</v>
      </c>
      <c r="H50" s="2">
        <v>75</v>
      </c>
      <c r="I50" s="2">
        <v>0</v>
      </c>
      <c r="J50" s="2">
        <v>25</v>
      </c>
      <c r="K50" s="2">
        <v>25</v>
      </c>
      <c r="L50" s="2">
        <v>25</v>
      </c>
      <c r="M50" s="2">
        <v>25</v>
      </c>
      <c r="N50" s="2">
        <v>25</v>
      </c>
      <c r="O50" s="2">
        <v>25</v>
      </c>
      <c r="P50" s="9"/>
      <c r="Q50" s="2">
        <f>SUM(OSRRefD21_6_1x)+IFERROR(SUM(OSRRefE21_6_1x),0)</f>
        <v>583</v>
      </c>
    </row>
    <row r="51" spans="1:17" s="35" customFormat="1" collapsed="1" x14ac:dyDescent="0.3">
      <c r="A51" s="34"/>
      <c r="B51" s="14" t="str">
        <f>CONCATENATE("     ","Training                                          ")</f>
        <v xml:space="preserve">     Training                                          </v>
      </c>
      <c r="C51" s="14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825</v>
      </c>
      <c r="J51" s="1">
        <f>SUM(OSRRefE21_7x_0)</f>
        <v>300</v>
      </c>
      <c r="K51" s="1">
        <f>SUM(OSRRefE21_7x_1)</f>
        <v>300</v>
      </c>
      <c r="L51" s="1">
        <f>SUM(OSRRefE21_7x_2)</f>
        <v>300</v>
      </c>
      <c r="M51" s="1">
        <f>SUM(OSRRefE21_7x_3)</f>
        <v>300</v>
      </c>
      <c r="N51" s="1">
        <f>SUM(OSRRefE21_7x_4)</f>
        <v>300</v>
      </c>
      <c r="O51" s="1">
        <f>SUM(OSRRefE21_7x_5)</f>
        <v>300</v>
      </c>
      <c r="Q51" s="2">
        <f>SUM(OSRRefD20_7x)+IFERROR(SUM(OSRRefE20_7x),0)</f>
        <v>2625</v>
      </c>
    </row>
    <row r="52" spans="1:17" s="35" customFormat="1" hidden="1" outlineLevel="1" x14ac:dyDescent="0.3">
      <c r="A52" s="34"/>
      <c r="B52" s="10" t="str">
        <f>CONCATENATE("          ","6376", " - ","TRAINING")</f>
        <v xml:space="preserve">          6376 - TRAINING</v>
      </c>
      <c r="C52" s="14"/>
      <c r="D52" s="2"/>
      <c r="E52" s="2"/>
      <c r="F52" s="2"/>
      <c r="G52" s="2"/>
      <c r="H52" s="2"/>
      <c r="I52" s="2">
        <v>825</v>
      </c>
      <c r="J52" s="2">
        <v>300</v>
      </c>
      <c r="K52" s="2">
        <v>300</v>
      </c>
      <c r="L52" s="2">
        <v>300</v>
      </c>
      <c r="M52" s="2">
        <v>300</v>
      </c>
      <c r="N52" s="2">
        <v>300</v>
      </c>
      <c r="O52" s="2">
        <v>300</v>
      </c>
      <c r="P52" s="9"/>
      <c r="Q52" s="2">
        <f>SUM(OSRRefD21_7_0x)+IFERROR(SUM(OSRRefE21_7_0x),0)</f>
        <v>2625</v>
      </c>
    </row>
    <row r="53" spans="1:17" s="35" customFormat="1" collapsed="1" x14ac:dyDescent="0.3">
      <c r="A53" s="34"/>
      <c r="B53" s="14" t="str">
        <f>CONCATENATE("     ","Travel                                            ")</f>
        <v xml:space="preserve">     Travel                                            </v>
      </c>
      <c r="C53" s="14"/>
      <c r="D53" s="1">
        <f>SUM(OSRRefD21_8x_0)</f>
        <v>0</v>
      </c>
      <c r="E53" s="1">
        <f>SUM(OSRRefD21_8x_1)</f>
        <v>595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0</v>
      </c>
      <c r="J53" s="1">
        <f>SUM(OSRRefE21_8x_0)</f>
        <v>0</v>
      </c>
      <c r="K53" s="1">
        <f>SUM(OSRRefE21_8x_1)</f>
        <v>0</v>
      </c>
      <c r="L53" s="1">
        <f>SUM(OSRRefE21_8x_2)</f>
        <v>0</v>
      </c>
      <c r="M53" s="1">
        <f>SUM(OSRRefE21_8x_3)</f>
        <v>0</v>
      </c>
      <c r="N53" s="1">
        <f>SUM(OSRRefE21_8x_4)</f>
        <v>0</v>
      </c>
      <c r="O53" s="1">
        <f>SUM(OSRRefE21_8x_5)</f>
        <v>0</v>
      </c>
      <c r="Q53" s="2">
        <f>SUM(OSRRefD20_8x)+IFERROR(SUM(OSRRefE20_8x),0)</f>
        <v>595</v>
      </c>
    </row>
    <row r="54" spans="1:17" s="35" customFormat="1" hidden="1" outlineLevel="1" x14ac:dyDescent="0.3">
      <c r="A54" s="34"/>
      <c r="B54" s="10" t="str">
        <f>CONCATENATE("          ","6292", " - ","TRAVEL/CONFERENCE")</f>
        <v xml:space="preserve">          6292 - TRAVEL/CONFERENCE</v>
      </c>
      <c r="C54" s="14"/>
      <c r="D54" s="2"/>
      <c r="E54" s="2">
        <v>595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SUM(OSRRefD21_8_0x)+IFERROR(SUM(OSRRefE21_8_0x),0)</f>
        <v>595</v>
      </c>
    </row>
    <row r="55" spans="1:17" s="29" customFormat="1" x14ac:dyDescent="0.3">
      <c r="A55" s="21"/>
      <c r="B55" s="21"/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9" customFormat="1" x14ac:dyDescent="0.3">
      <c r="A56" s="23"/>
      <c r="B56" s="16" t="s">
        <v>293</v>
      </c>
      <c r="C56" s="22"/>
      <c r="D56" s="3">
        <f t="shared" ref="D56:I56" si="4">0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 t="shared" si="4"/>
        <v>0</v>
      </c>
      <c r="J56" s="3"/>
      <c r="K56" s="3"/>
      <c r="L56" s="3"/>
      <c r="M56" s="3"/>
      <c r="N56" s="3"/>
      <c r="O56" s="3"/>
      <c r="Q56" s="2">
        <f>SUM(OSRRefD23_0x)+IFERROR(SUM(OSRRefE23_0x),0)</f>
        <v>0</v>
      </c>
    </row>
    <row r="57" spans="1:17" x14ac:dyDescent="0.3">
      <c r="A57" s="5"/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5" customFormat="1" x14ac:dyDescent="0.3">
      <c r="A58" s="6"/>
      <c r="B58" s="17" t="s">
        <v>276</v>
      </c>
      <c r="C58" s="17"/>
      <c r="D58" s="7">
        <f t="shared" ref="D58:O58" si="5">IFERROR(+D14-D17+D56, 0)</f>
        <v>-20675.600000000002</v>
      </c>
      <c r="E58" s="7">
        <f t="shared" si="5"/>
        <v>-18878.86</v>
      </c>
      <c r="F58" s="7">
        <f t="shared" si="5"/>
        <v>-16881.870000000003</v>
      </c>
      <c r="G58" s="7">
        <f t="shared" si="5"/>
        <v>-22630.600000000002</v>
      </c>
      <c r="H58" s="7">
        <f t="shared" si="5"/>
        <v>-17012.580000000002</v>
      </c>
      <c r="I58" s="7">
        <f t="shared" si="5"/>
        <v>-20870.63</v>
      </c>
      <c r="J58" s="7">
        <f t="shared" si="5"/>
        <v>-20271.289565250001</v>
      </c>
      <c r="K58" s="7">
        <f t="shared" si="5"/>
        <v>-17497.431652200001</v>
      </c>
      <c r="L58" s="7">
        <f t="shared" si="5"/>
        <v>-17497.431652200001</v>
      </c>
      <c r="M58" s="7">
        <f t="shared" si="5"/>
        <v>-20271.289565250001</v>
      </c>
      <c r="N58" s="7">
        <f t="shared" si="5"/>
        <v>-17497.431652200001</v>
      </c>
      <c r="O58" s="7">
        <f t="shared" si="5"/>
        <v>-17497.431652200001</v>
      </c>
      <c r="Q58" s="7">
        <f>IFERROR(+Q14-Q17+Q56, 0)</f>
        <v>-227482.44573930002</v>
      </c>
    </row>
    <row r="59" spans="1:17" s="6" customFormat="1" x14ac:dyDescent="0.3">
      <c r="B59" s="16"/>
      <c r="C59" s="16"/>
      <c r="D59" s="4">
        <f t="shared" ref="D59:O59" si="6">IFERROR(D58/D10, 0)</f>
        <v>0</v>
      </c>
      <c r="E59" s="4">
        <f t="shared" si="6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>
        <f t="shared" si="6"/>
        <v>0</v>
      </c>
      <c r="O59" s="4">
        <f t="shared" si="6"/>
        <v>0</v>
      </c>
      <c r="P59" s="18"/>
      <c r="Q59" s="4">
        <f>IFERROR(Q58/Q10, 0)</f>
        <v>0</v>
      </c>
    </row>
    <row r="60" spans="1:17" x14ac:dyDescent="0.3">
      <c r="A60" s="5"/>
      <c r="B60" s="6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x14ac:dyDescent="0.3">
      <c r="A61" s="25"/>
      <c r="B61" s="6" t="s">
        <v>125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2">
        <f>SUM(OSRRefD28_0x)+IFERROR(SUM(OSRRefE28_0x),0)</f>
        <v>0</v>
      </c>
    </row>
    <row r="62" spans="1:17" x14ac:dyDescent="0.3">
      <c r="A62" s="5"/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</row>
    <row r="63" spans="1:17" s="15" customFormat="1" ht="15" thickBot="1" x14ac:dyDescent="0.35">
      <c r="A63" s="6"/>
      <c r="B63" s="17" t="s">
        <v>124</v>
      </c>
      <c r="C63" s="17"/>
      <c r="D63" s="8">
        <f t="shared" ref="D63:O63" si="7">IFERROR(+D58-D61, 0)</f>
        <v>-20675.600000000002</v>
      </c>
      <c r="E63" s="8">
        <f t="shared" si="7"/>
        <v>-18878.86</v>
      </c>
      <c r="F63" s="8">
        <f t="shared" si="7"/>
        <v>-16881.870000000003</v>
      </c>
      <c r="G63" s="8">
        <f t="shared" si="7"/>
        <v>-22630.600000000002</v>
      </c>
      <c r="H63" s="8">
        <f t="shared" si="7"/>
        <v>-17012.580000000002</v>
      </c>
      <c r="I63" s="8">
        <f t="shared" si="7"/>
        <v>-20870.63</v>
      </c>
      <c r="J63" s="8">
        <f t="shared" si="7"/>
        <v>-20271.289565250001</v>
      </c>
      <c r="K63" s="8">
        <f t="shared" si="7"/>
        <v>-17497.431652200001</v>
      </c>
      <c r="L63" s="8">
        <f t="shared" si="7"/>
        <v>-17497.431652200001</v>
      </c>
      <c r="M63" s="8">
        <f t="shared" si="7"/>
        <v>-20271.289565250001</v>
      </c>
      <c r="N63" s="8">
        <f t="shared" si="7"/>
        <v>-17497.431652200001</v>
      </c>
      <c r="O63" s="8">
        <f t="shared" si="7"/>
        <v>-17497.431652200001</v>
      </c>
      <c r="Q63" s="8">
        <f>IFERROR(+Q58-Q61, 0)</f>
        <v>-227482.44573930002</v>
      </c>
    </row>
    <row r="64" spans="1:17" ht="15" thickTop="1" x14ac:dyDescent="0.3">
      <c r="A64" s="5"/>
      <c r="B64" s="5"/>
      <c r="C64" s="5"/>
      <c r="D64" s="4">
        <f t="shared" ref="D64:O64" si="8">IFERROR(D63/D10, 0)</f>
        <v>0</v>
      </c>
      <c r="E64" s="4">
        <f t="shared" si="8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>
        <f t="shared" si="8"/>
        <v>0</v>
      </c>
      <c r="O64" s="4">
        <f t="shared" si="8"/>
        <v>0</v>
      </c>
      <c r="P64" s="18"/>
      <c r="Q64" s="4">
        <f>IFERROR(Q63/Q10, 0)</f>
        <v>0</v>
      </c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x14ac:dyDescent="0.3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294</v>
      </c>
      <c r="C67" s="17"/>
      <c r="D67" s="8">
        <f t="shared" ref="D67:O67" si="9">IFERROR(SUM(D63:D66), 0)</f>
        <v>-20675.600000000002</v>
      </c>
      <c r="E67" s="8">
        <f t="shared" si="9"/>
        <v>-18878.86</v>
      </c>
      <c r="F67" s="8">
        <f t="shared" si="9"/>
        <v>-16881.870000000003</v>
      </c>
      <c r="G67" s="8">
        <f t="shared" si="9"/>
        <v>-22630.600000000002</v>
      </c>
      <c r="H67" s="8">
        <f t="shared" si="9"/>
        <v>-17012.580000000002</v>
      </c>
      <c r="I67" s="8">
        <f t="shared" si="9"/>
        <v>-20870.63</v>
      </c>
      <c r="J67" s="8">
        <f t="shared" si="9"/>
        <v>-20271.289565250001</v>
      </c>
      <c r="K67" s="8">
        <f t="shared" si="9"/>
        <v>-17497.431652200001</v>
      </c>
      <c r="L67" s="8">
        <f t="shared" si="9"/>
        <v>-17497.431652200001</v>
      </c>
      <c r="M67" s="8">
        <f t="shared" si="9"/>
        <v>-20271.289565250001</v>
      </c>
      <c r="N67" s="8">
        <f t="shared" si="9"/>
        <v>-17497.431652200001</v>
      </c>
      <c r="O67" s="8">
        <f t="shared" si="9"/>
        <v>-17497.431652200001</v>
      </c>
      <c r="Q67" s="8">
        <f>IFERROR(SUM(Q63:Q66), 0)</f>
        <v>-227482.44573930002</v>
      </c>
    </row>
    <row r="68" spans="1:17" ht="15" thickTop="1" x14ac:dyDescent="0.3">
      <c r="A68" s="5"/>
      <c r="C68" s="5"/>
      <c r="D68" s="4">
        <f t="shared" ref="D68:O68" si="10">IFERROR(D67/D10, 0)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18"/>
      <c r="Q68" s="4">
        <f>IFERROR(Q67/Q10, 0)</f>
        <v>0</v>
      </c>
    </row>
    <row r="69" spans="1:17" x14ac:dyDescent="0.3">
      <c r="A69" s="5"/>
      <c r="B69" s="28">
        <v>44575.850692245367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3">
      <c r="A70" s="5"/>
      <c r="B70" s="26" t="s">
        <v>54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  <row r="71" spans="1:17" x14ac:dyDescent="0.3">
      <c r="A71" s="5"/>
      <c r="B71" s="3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Q71" s="13"/>
    </row>
    <row r="72" spans="1:17" x14ac:dyDescent="0.3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Q7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","433", " - ", "Hillside Dining Hall")</f>
        <v>Department 433 - Hillside Dining Hall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210442.61</v>
      </c>
      <c r="F10" s="3">
        <f>SUM(OSRRefD11x_2)</f>
        <v>578043.58000000007</v>
      </c>
      <c r="G10" s="3">
        <f>SUM(OSRRefD11x_3)</f>
        <v>521058.73</v>
      </c>
      <c r="H10" s="3">
        <f>SUM(OSRRefD11x_4)</f>
        <v>414220.14</v>
      </c>
      <c r="I10" s="3">
        <f>SUM(OSRRefD11x_5)</f>
        <v>310634.16000000003</v>
      </c>
      <c r="J10" s="3">
        <f>SUM(OSRRefE11x_0)</f>
        <v>178200</v>
      </c>
      <c r="K10" s="3">
        <f>SUM(OSRRefE11x_1)</f>
        <v>453600</v>
      </c>
      <c r="L10" s="3">
        <f>SUM(OSRRefE11x_2)</f>
        <v>437400</v>
      </c>
      <c r="M10" s="3">
        <f>SUM(OSRRefE11x_3)</f>
        <v>437400</v>
      </c>
      <c r="N10" s="3">
        <f>SUM(OSRRefE11x_4)</f>
        <v>243000</v>
      </c>
      <c r="O10" s="3">
        <f>SUM(OSRRefE11x_5)</f>
        <v>0</v>
      </c>
      <c r="P10" s="24"/>
      <c r="Q10" s="3">
        <f>SUM(OSRRefG11x)</f>
        <v>3783999.22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>--303.31</f>
        <v>303.31</v>
      </c>
      <c r="F11" s="2">
        <f>--570.15</f>
        <v>570.15</v>
      </c>
      <c r="G11" s="2">
        <f>--439.11</f>
        <v>439.11</v>
      </c>
      <c r="H11" s="2">
        <f>--359.71</f>
        <v>359.71</v>
      </c>
      <c r="I11" s="2">
        <f>--171.71</f>
        <v>171.71</v>
      </c>
      <c r="J11" s="2"/>
      <c r="K11" s="2"/>
      <c r="L11" s="2"/>
      <c r="M11" s="2"/>
      <c r="N11" s="2"/>
      <c r="O11" s="2"/>
      <c r="Q11" s="2">
        <f>SUM(OSRRefD11_0x)+IFERROR(SUM(OSRRefE11_0x),0)</f>
        <v>1843.9900000000002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ref="E12:I12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v>178200</v>
      </c>
      <c r="K12" s="2">
        <v>453600</v>
      </c>
      <c r="L12" s="2">
        <v>437400</v>
      </c>
      <c r="M12" s="2">
        <v>437400</v>
      </c>
      <c r="N12" s="2">
        <v>243000</v>
      </c>
      <c r="O12" s="2"/>
      <c r="Q12" s="2">
        <f>SUM(OSRRefD11_1x)+IFERROR(SUM(OSRRefE11_1x),0)</f>
        <v>1749600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--196022.21</f>
        <v>196022.21</v>
      </c>
      <c r="F13" s="2">
        <f>--568839.88</f>
        <v>568839.88</v>
      </c>
      <c r="G13" s="2">
        <f>--512611.43</f>
        <v>512611.43</v>
      </c>
      <c r="H13" s="2">
        <f>--410089.14</f>
        <v>410089.14</v>
      </c>
      <c r="I13" s="2">
        <f>--306692.26</f>
        <v>306692.26</v>
      </c>
      <c r="J13" s="2"/>
      <c r="K13" s="2"/>
      <c r="L13" s="2"/>
      <c r="M13" s="2"/>
      <c r="N13" s="2"/>
      <c r="O13" s="2"/>
      <c r="Q13" s="2">
        <f>SUM(OSRRefD11_2x)+IFERROR(SUM(OSRRefE11_2x),0)</f>
        <v>1994254.9200000002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--14117.09</f>
        <v>14117.09</v>
      </c>
      <c r="F14" s="2">
        <f>--8633.55</f>
        <v>8633.5499999999993</v>
      </c>
      <c r="G14" s="2">
        <f>--8008.19</f>
        <v>8008.19</v>
      </c>
      <c r="H14" s="2">
        <f>--3771.29</f>
        <v>3771.29</v>
      </c>
      <c r="I14" s="2">
        <f>--3770.19</f>
        <v>3770.19</v>
      </c>
      <c r="J14" s="2"/>
      <c r="K14" s="2"/>
      <c r="L14" s="2"/>
      <c r="M14" s="2"/>
      <c r="N14" s="2"/>
      <c r="O14" s="2"/>
      <c r="Q14" s="2">
        <f>SUM(OSRRefD11_3x)+IFERROR(SUM(OSRRefE11_3x),0)</f>
        <v>38300.31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49432.229999999996</v>
      </c>
      <c r="F16" s="3">
        <f>SUM(OSRRefD14x_2)</f>
        <v>137436.65</v>
      </c>
      <c r="G16" s="3">
        <f>SUM(OSRRefD14x_3)</f>
        <v>153313.06</v>
      </c>
      <c r="H16" s="3">
        <f>SUM(OSRRefD14x_4)</f>
        <v>116164.23</v>
      </c>
      <c r="I16" s="3">
        <f>SUM(OSRRefD14x_5)</f>
        <v>77391.13</v>
      </c>
      <c r="J16" s="3">
        <f>SUM(OSRRefE14x_0)</f>
        <v>57024</v>
      </c>
      <c r="K16" s="3">
        <f>SUM(OSRRefE14x_1)</f>
        <v>117936</v>
      </c>
      <c r="L16" s="3">
        <f>SUM(OSRRefE14x_2)</f>
        <v>113724</v>
      </c>
      <c r="M16" s="3">
        <f>SUM(OSRRefE14x_3)</f>
        <v>113724</v>
      </c>
      <c r="N16" s="3">
        <f>SUM(OSRRefE14x_4)</f>
        <v>69255</v>
      </c>
      <c r="O16" s="3">
        <f>SUM(OSRRefE14x_5)</f>
        <v>0</v>
      </c>
      <c r="Q16" s="3">
        <f>SUM(OSRRefG14x)</f>
        <v>1005400.2999999999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57024</v>
      </c>
      <c r="K17" s="2">
        <v>117936</v>
      </c>
      <c r="L17" s="2">
        <v>113724</v>
      </c>
      <c r="M17" s="2">
        <v>113724</v>
      </c>
      <c r="N17" s="2">
        <v>69255</v>
      </c>
      <c r="O17" s="2"/>
      <c r="Q17" s="2">
        <f>SUM(OSRRefD14_0x)+IFERROR(SUM(OSRRefE14_0x),0)</f>
        <v>471663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70670.23</v>
      </c>
      <c r="F18" s="2">
        <v>140691.65</v>
      </c>
      <c r="G18" s="2">
        <v>155128.06</v>
      </c>
      <c r="H18" s="2">
        <v>113694.23</v>
      </c>
      <c r="I18" s="2">
        <v>60607.13</v>
      </c>
      <c r="J18" s="2"/>
      <c r="K18" s="2"/>
      <c r="L18" s="2"/>
      <c r="M18" s="2"/>
      <c r="N18" s="2"/>
      <c r="O18" s="2"/>
      <c r="Q18" s="2">
        <f>SUM(OSRRefD14_1x)+IFERROR(SUM(OSRRefE14_1x),0)</f>
        <v>540791.29999999993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-21238</v>
      </c>
      <c r="F19" s="2">
        <v>-3255</v>
      </c>
      <c r="G19" s="2">
        <v>-1815</v>
      </c>
      <c r="H19" s="2">
        <v>2470</v>
      </c>
      <c r="I19" s="2">
        <v>16784</v>
      </c>
      <c r="J19" s="2"/>
      <c r="K19" s="2"/>
      <c r="L19" s="2"/>
      <c r="M19" s="2"/>
      <c r="N19" s="2"/>
      <c r="O19" s="2"/>
      <c r="Q19" s="2">
        <f>SUM(OSRRefD14_2x)+IFERROR(SUM(OSRRefE14_2x),0)</f>
        <v>-7054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161010.38</v>
      </c>
      <c r="F21" s="7">
        <f t="shared" si="2"/>
        <v>440606.93000000005</v>
      </c>
      <c r="G21" s="7">
        <f t="shared" si="2"/>
        <v>367745.67</v>
      </c>
      <c r="H21" s="7">
        <f t="shared" si="2"/>
        <v>298055.91000000003</v>
      </c>
      <c r="I21" s="7">
        <f t="shared" si="2"/>
        <v>233243.03000000003</v>
      </c>
      <c r="J21" s="7">
        <f t="shared" si="2"/>
        <v>121176</v>
      </c>
      <c r="K21" s="7">
        <f t="shared" si="2"/>
        <v>335664</v>
      </c>
      <c r="L21" s="7">
        <f t="shared" si="2"/>
        <v>323676</v>
      </c>
      <c r="M21" s="7">
        <f t="shared" si="2"/>
        <v>323676</v>
      </c>
      <c r="N21" s="7">
        <f t="shared" si="2"/>
        <v>173745</v>
      </c>
      <c r="O21" s="7">
        <f t="shared" si="2"/>
        <v>0</v>
      </c>
      <c r="Q21" s="7">
        <f>IFERROR(+Q10-Q16, 0)</f>
        <v>2778598.9200000004</v>
      </c>
    </row>
    <row r="22" spans="1:17" s="6" customFormat="1" x14ac:dyDescent="0.3">
      <c r="B22" s="16"/>
      <c r="C22" s="16"/>
      <c r="D22" s="4">
        <f t="shared" ref="D22:O22" si="3">IFERROR(D21/D10, 0)</f>
        <v>0</v>
      </c>
      <c r="E22" s="4">
        <f t="shared" si="3"/>
        <v>0.7651035120691575</v>
      </c>
      <c r="F22" s="4">
        <f t="shared" si="3"/>
        <v>0.76223825546163837</v>
      </c>
      <c r="G22" s="4">
        <f t="shared" si="3"/>
        <v>0.70576625786502034</v>
      </c>
      <c r="H22" s="4">
        <f t="shared" si="3"/>
        <v>0.71955919381418787</v>
      </c>
      <c r="I22" s="4">
        <f t="shared" si="3"/>
        <v>0.75086085187797758</v>
      </c>
      <c r="J22" s="4">
        <f t="shared" si="3"/>
        <v>0.68</v>
      </c>
      <c r="K22" s="4">
        <f t="shared" si="3"/>
        <v>0.74</v>
      </c>
      <c r="L22" s="4">
        <f t="shared" si="3"/>
        <v>0.74</v>
      </c>
      <c r="M22" s="4">
        <f t="shared" si="3"/>
        <v>0.74</v>
      </c>
      <c r="N22" s="4">
        <f t="shared" si="3"/>
        <v>0.71499999999999997</v>
      </c>
      <c r="O22" s="4">
        <f t="shared" si="3"/>
        <v>0</v>
      </c>
      <c r="P22" s="18"/>
      <c r="Q22" s="4">
        <f>IFERROR(Q21/Q10, 0)</f>
        <v>0.73430219153163578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41498.81</v>
      </c>
      <c r="E24" s="12">
        <f>SUM(OSRRefD20x_1)</f>
        <v>93012.35</v>
      </c>
      <c r="F24" s="12">
        <f>SUM(OSRRefD20x_2)</f>
        <v>159024.91999999998</v>
      </c>
      <c r="G24" s="12">
        <f>SUM(OSRRefD20x_3)</f>
        <v>220502.02000000002</v>
      </c>
      <c r="H24" s="12">
        <f>SUM(OSRRefD20x_4)</f>
        <v>149818.17999999996</v>
      </c>
      <c r="I24" s="12">
        <f>SUM(OSRRefD20x_5)</f>
        <v>138185.60999999999</v>
      </c>
      <c r="J24" s="12">
        <f>SUM(OSRRefE20x_0)</f>
        <v>174918.02737115388</v>
      </c>
      <c r="K24" s="12">
        <f>SUM(OSRRefE20x_1)</f>
        <v>176308.17189692301</v>
      </c>
      <c r="L24" s="12">
        <f>SUM(OSRRefE20x_2)</f>
        <v>173212.17189692301</v>
      </c>
      <c r="M24" s="12">
        <f>SUM(OSRRefE20x_3)</f>
        <v>194654.02737115388</v>
      </c>
      <c r="N24" s="12">
        <f>SUM(OSRRefE20x_4)</f>
        <v>143958.41589692302</v>
      </c>
      <c r="O24" s="12">
        <f>SUM(OSRRefE20x_5)</f>
        <v>89793.209896923028</v>
      </c>
      <c r="Q24" s="12">
        <f>SUM(OSRRefG20x)</f>
        <v>1754885.9143300001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16794.339999999997</v>
      </c>
      <c r="E25" s="1">
        <f>SUM(OSRRefD21_0x_1)</f>
        <v>19309.000000000004</v>
      </c>
      <c r="F25" s="1">
        <f>SUM(OSRRefD21_0x_2)</f>
        <v>27459.919999999998</v>
      </c>
      <c r="G25" s="1">
        <f>SUM(OSRRefD21_0x_3)</f>
        <v>33055.050000000003</v>
      </c>
      <c r="H25" s="1">
        <f>SUM(OSRRefD21_0x_4)</f>
        <v>29454.489999999998</v>
      </c>
      <c r="I25" s="1">
        <f>SUM(OSRRefD21_0x_5)</f>
        <v>28148.400000000001</v>
      </c>
      <c r="J25" s="1">
        <f>SUM(OSRRefE21_0x_0)</f>
        <v>40278.000448076957</v>
      </c>
      <c r="K25" s="1">
        <f>SUM(OSRRefE21_0x_1)</f>
        <v>33670.750358461526</v>
      </c>
      <c r="L25" s="1">
        <f>SUM(OSRRefE21_0x_2)</f>
        <v>33670.750358461526</v>
      </c>
      <c r="M25" s="1">
        <f>SUM(OSRRefE21_0x_3)</f>
        <v>40278.000448076957</v>
      </c>
      <c r="N25" s="1">
        <f>SUM(OSRRefE21_0x_4)</f>
        <v>31913.994358461525</v>
      </c>
      <c r="O25" s="1">
        <f>SUM(OSRRefE21_0x_5)</f>
        <v>29370.788358461523</v>
      </c>
      <c r="Q25" s="2">
        <f>SUM(OSRRefD20_0x)+IFERROR(SUM(OSRRefE20_0x),0)</f>
        <v>363403.48433000001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1369.22</v>
      </c>
      <c r="E26" s="2">
        <v>2326.91</v>
      </c>
      <c r="F26" s="2">
        <v>3825.82</v>
      </c>
      <c r="G26" s="2">
        <v>5565.21</v>
      </c>
      <c r="H26" s="2">
        <v>3790.53</v>
      </c>
      <c r="I26" s="2">
        <v>3483.8</v>
      </c>
      <c r="J26" s="2">
        <v>5970.2377557692298</v>
      </c>
      <c r="K26" s="2">
        <v>4776.19020461538</v>
      </c>
      <c r="L26" s="2">
        <v>4776.19020461538</v>
      </c>
      <c r="M26" s="2">
        <v>5970.2377557692298</v>
      </c>
      <c r="N26" s="2">
        <v>3995.5842046153798</v>
      </c>
      <c r="O26" s="2">
        <v>3214.97820461538</v>
      </c>
      <c r="P26" s="9"/>
      <c r="Q26" s="2">
        <f>SUM(OSRRefD21_0_0x)+IFERROR(SUM(OSRRefE21_0_0x),0)</f>
        <v>49064.908329999977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643.47</v>
      </c>
      <c r="E27" s="2">
        <v>1059.3499999999999</v>
      </c>
      <c r="F27" s="2">
        <v>2052.29</v>
      </c>
      <c r="G27" s="2">
        <v>3753.74</v>
      </c>
      <c r="H27" s="2">
        <v>2683.52</v>
      </c>
      <c r="I27" s="2">
        <v>2427.11</v>
      </c>
      <c r="J27" s="2">
        <v>3666.32209615385</v>
      </c>
      <c r="K27" s="2">
        <v>3074.9931769230798</v>
      </c>
      <c r="L27" s="2">
        <v>3074.9931769230798</v>
      </c>
      <c r="M27" s="2">
        <v>3666.32209615385</v>
      </c>
      <c r="N27" s="2">
        <v>2546.4776769230798</v>
      </c>
      <c r="O27" s="2">
        <v>1592.1556769230799</v>
      </c>
      <c r="P27" s="9"/>
      <c r="Q27" s="2">
        <f>SUM(OSRRefD21_0_1x)+IFERROR(SUM(OSRRefE21_0_1x),0)</f>
        <v>30240.743900000019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10588.88</v>
      </c>
      <c r="E28" s="2">
        <v>10588.88</v>
      </c>
      <c r="F28" s="2">
        <v>15071.47</v>
      </c>
      <c r="G28" s="2">
        <v>13128.66</v>
      </c>
      <c r="H28" s="2">
        <v>15085.96</v>
      </c>
      <c r="I28" s="2">
        <v>15064.3</v>
      </c>
      <c r="J28" s="2">
        <v>23715.230769230799</v>
      </c>
      <c r="K28" s="2">
        <v>20158.384615384599</v>
      </c>
      <c r="L28" s="2">
        <v>20158.384615384599</v>
      </c>
      <c r="M28" s="2">
        <v>23715.230769230799</v>
      </c>
      <c r="N28" s="2">
        <v>20158.384615384599</v>
      </c>
      <c r="O28" s="2">
        <v>20158.384615384599</v>
      </c>
      <c r="P28" s="9"/>
      <c r="Q28" s="2">
        <f>SUM(OSRRefD21_0_2x)+IFERROR(SUM(OSRRefE21_0_2x),0)</f>
        <v>207592.14999999997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46.47</v>
      </c>
      <c r="E29" s="2">
        <v>76.510000000000005</v>
      </c>
      <c r="F29" s="2">
        <v>148.22999999999999</v>
      </c>
      <c r="G29" s="2">
        <v>271.10000000000002</v>
      </c>
      <c r="H29" s="2">
        <v>193.82</v>
      </c>
      <c r="I29" s="2">
        <v>175.29</v>
      </c>
      <c r="J29" s="2">
        <v>203.147134615385</v>
      </c>
      <c r="K29" s="2">
        <v>170.38220769230799</v>
      </c>
      <c r="L29" s="2">
        <v>170.38220769230799</v>
      </c>
      <c r="M29" s="2">
        <v>203.147134615385</v>
      </c>
      <c r="N29" s="2">
        <v>141.09770769230801</v>
      </c>
      <c r="O29" s="2">
        <v>88.219707692307693</v>
      </c>
      <c r="P29" s="9"/>
      <c r="Q29" s="2">
        <f>SUM(OSRRefD21_0_3x)+IFERROR(SUM(OSRRefE21_0_3x),0)</f>
        <v>1887.7961000000014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935.58</v>
      </c>
      <c r="E30" s="2">
        <v>935.58</v>
      </c>
      <c r="F30" s="2">
        <v>1179.29</v>
      </c>
      <c r="G30" s="2">
        <v>2134.5100000000002</v>
      </c>
      <c r="H30" s="2">
        <v>1479.93</v>
      </c>
      <c r="I30" s="2">
        <v>1479.97</v>
      </c>
      <c r="J30" s="2">
        <v>1557.60884615385</v>
      </c>
      <c r="K30" s="2">
        <v>1246.0870769230801</v>
      </c>
      <c r="L30" s="2">
        <v>1246.0870769230801</v>
      </c>
      <c r="M30" s="2">
        <v>1557.60884615385</v>
      </c>
      <c r="N30" s="2">
        <v>1246.0870769230801</v>
      </c>
      <c r="O30" s="2">
        <v>1246.0870769230801</v>
      </c>
      <c r="P30" s="9"/>
      <c r="Q30" s="2">
        <f>SUM(OSRRefD21_0_4x)+IFERROR(SUM(OSRRefE21_0_4x),0)</f>
        <v>16244.426000000021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346.42</v>
      </c>
      <c r="E32" s="2">
        <v>576.29</v>
      </c>
      <c r="F32" s="2">
        <v>277.60000000000002</v>
      </c>
      <c r="G32" s="2">
        <v>508.99</v>
      </c>
      <c r="H32" s="2">
        <v>585.89</v>
      </c>
      <c r="I32" s="2">
        <v>587.01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2882.2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1447.81</v>
      </c>
      <c r="E33" s="2">
        <v>2025.74</v>
      </c>
      <c r="F33" s="2">
        <v>2232.8200000000002</v>
      </c>
      <c r="G33" s="2">
        <v>3034.41</v>
      </c>
      <c r="H33" s="2">
        <v>2143.64</v>
      </c>
      <c r="I33" s="2">
        <v>1986.56</v>
      </c>
      <c r="J33" s="2">
        <v>2263.3519230769198</v>
      </c>
      <c r="K33" s="2">
        <v>1810.68153846154</v>
      </c>
      <c r="L33" s="2">
        <v>1810.68153846154</v>
      </c>
      <c r="M33" s="2">
        <v>2263.3519230769198</v>
      </c>
      <c r="N33" s="2">
        <v>1810.68153846154</v>
      </c>
      <c r="O33" s="2">
        <v>1810.68153846154</v>
      </c>
      <c r="P33" s="9"/>
      <c r="Q33" s="2">
        <f>SUM(OSRRefD21_0_7x)+IFERROR(SUM(OSRRefE21_0_7x),0)</f>
        <v>24640.41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850.14</v>
      </c>
      <c r="E34" s="2">
        <v>1239.22</v>
      </c>
      <c r="F34" s="2">
        <v>1593.46</v>
      </c>
      <c r="G34" s="2">
        <v>2581.14</v>
      </c>
      <c r="H34" s="2">
        <v>1837.25</v>
      </c>
      <c r="I34" s="2">
        <v>1649.06</v>
      </c>
      <c r="J34" s="2">
        <v>2902.1019230769198</v>
      </c>
      <c r="K34" s="2">
        <v>2434.0315384615401</v>
      </c>
      <c r="L34" s="2">
        <v>2434.0315384615401</v>
      </c>
      <c r="M34" s="2">
        <v>2902.1019230769198</v>
      </c>
      <c r="N34" s="2">
        <v>2015.68153846154</v>
      </c>
      <c r="O34" s="2">
        <v>1260.2815384615401</v>
      </c>
      <c r="P34" s="9"/>
      <c r="Q34" s="2">
        <f>SUM(OSRRefD21_0_8x)+IFERROR(SUM(OSRRefE21_0_8x),0)</f>
        <v>23698.5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566.35</v>
      </c>
      <c r="E35" s="2">
        <v>480.52</v>
      </c>
      <c r="F35" s="2">
        <v>1078.94</v>
      </c>
      <c r="G35" s="2">
        <v>2077.29</v>
      </c>
      <c r="H35" s="2">
        <v>1653.95</v>
      </c>
      <c r="I35" s="2">
        <v>1295.3</v>
      </c>
      <c r="J35" s="2"/>
      <c r="K35" s="2"/>
      <c r="L35" s="2"/>
      <c r="M35" s="2"/>
      <c r="N35" s="2"/>
      <c r="O35" s="2"/>
      <c r="P35" s="9"/>
      <c r="Q35" s="2">
        <f>SUM(OSRRefD21_0_9x)+IFERROR(SUM(OSRRefE21_0_9x),0)</f>
        <v>7152.35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18875.27</v>
      </c>
      <c r="E36" s="1">
        <f>SUM(OSRRefD21_1x_1)</f>
        <v>38013.68</v>
      </c>
      <c r="F36" s="1">
        <f>SUM(OSRRefD21_1x_2)</f>
        <v>62148.71</v>
      </c>
      <c r="G36" s="1">
        <f>SUM(OSRRefD21_1x_3)</f>
        <v>111131.22000000002</v>
      </c>
      <c r="H36" s="1">
        <f>SUM(OSRRefD21_1x_4)</f>
        <v>73015.17</v>
      </c>
      <c r="I36" s="1">
        <f>SUM(OSRRefD21_1x_5)</f>
        <v>72762.149999999994</v>
      </c>
      <c r="J36" s="1">
        <f>SUM(OSRRefE21_1x_0)</f>
        <v>92898.026923076904</v>
      </c>
      <c r="K36" s="1">
        <f>SUM(OSRRefE21_1x_1)</f>
        <v>78063.421538461494</v>
      </c>
      <c r="L36" s="1">
        <f>SUM(OSRRefE21_1x_2)</f>
        <v>78063.421538461494</v>
      </c>
      <c r="M36" s="1">
        <f>SUM(OSRRefE21_1x_3)</f>
        <v>92898.026923076904</v>
      </c>
      <c r="N36" s="1">
        <f>SUM(OSRRefE21_1x_4)</f>
        <v>64118.421538461502</v>
      </c>
      <c r="O36" s="1">
        <f>SUM(OSRRefE21_1x_5)</f>
        <v>38938.421538461502</v>
      </c>
      <c r="Q36" s="2">
        <f>SUM(OSRRefD20_1x)+IFERROR(SUM(OSRRefE20_1x),0)</f>
        <v>820925.93999999983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10229.52</v>
      </c>
      <c r="E38" s="2">
        <v>10797.37</v>
      </c>
      <c r="F38" s="2">
        <v>14821.74</v>
      </c>
      <c r="G38" s="2">
        <v>19740.43</v>
      </c>
      <c r="H38" s="2">
        <v>15887.18</v>
      </c>
      <c r="I38" s="2">
        <v>14311.48</v>
      </c>
      <c r="J38" s="2">
        <v>17025.026923076901</v>
      </c>
      <c r="K38" s="2">
        <v>13620.0215384615</v>
      </c>
      <c r="L38" s="2">
        <v>13620.0215384615</v>
      </c>
      <c r="M38" s="2">
        <v>17025.026923076901</v>
      </c>
      <c r="N38" s="2">
        <v>13620.0215384615</v>
      </c>
      <c r="O38" s="2">
        <v>13620.0215384615</v>
      </c>
      <c r="P38" s="9"/>
      <c r="Q38" s="2">
        <f>SUM(OSRRefD21_1_1x)+IFERROR(SUM(OSRRefE21_1_1x),0)</f>
        <v>174317.85999999981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7226.75</v>
      </c>
      <c r="E40" s="2">
        <v>14603.12</v>
      </c>
      <c r="F40" s="2">
        <v>24955.32</v>
      </c>
      <c r="G40" s="2">
        <v>37115.93</v>
      </c>
      <c r="H40" s="2">
        <v>24904.15</v>
      </c>
      <c r="I40" s="2">
        <v>21410.66</v>
      </c>
      <c r="J40" s="2">
        <v>57148</v>
      </c>
      <c r="K40" s="2">
        <v>45718.400000000001</v>
      </c>
      <c r="L40" s="2">
        <v>45718.400000000001</v>
      </c>
      <c r="M40" s="2">
        <v>57148</v>
      </c>
      <c r="N40" s="2">
        <v>35518.400000000001</v>
      </c>
      <c r="O40" s="2">
        <v>25318.400000000001</v>
      </c>
      <c r="P40" s="9"/>
      <c r="Q40" s="2">
        <f>SUM(OSRRefD21_1_3x)+IFERROR(SUM(OSRRefE21_1_3x),0)</f>
        <v>396785.52999999997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1423.04</v>
      </c>
      <c r="F41" s="2">
        <v>8671.5400000000009</v>
      </c>
      <c r="G41" s="2">
        <v>36290.46</v>
      </c>
      <c r="H41" s="2">
        <v>7163.2</v>
      </c>
      <c r="I41" s="2">
        <v>13574.24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67122.48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1419</v>
      </c>
      <c r="E43" s="2">
        <v>11190.15</v>
      </c>
      <c r="F43" s="2">
        <v>13700.11</v>
      </c>
      <c r="G43" s="2">
        <v>15549.24</v>
      </c>
      <c r="H43" s="2">
        <v>17741.580000000002</v>
      </c>
      <c r="I43" s="2">
        <v>15272.48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74872.56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>
        <v>2435.16</v>
      </c>
      <c r="H44" s="2">
        <v>7319.06</v>
      </c>
      <c r="I44" s="2">
        <v>8193.2900000000009</v>
      </c>
      <c r="J44" s="2">
        <v>18725</v>
      </c>
      <c r="K44" s="2">
        <v>18725</v>
      </c>
      <c r="L44" s="2">
        <v>18725</v>
      </c>
      <c r="M44" s="2">
        <v>18725</v>
      </c>
      <c r="N44" s="2">
        <v>14980</v>
      </c>
      <c r="O44" s="2">
        <v>0</v>
      </c>
      <c r="P44" s="9"/>
      <c r="Q44" s="2">
        <f>SUM(OSRRefD21_1_7x)+IFERROR(SUM(OSRRefE21_1_7x),0)</f>
        <v>107827.51000000001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624.66</v>
      </c>
      <c r="F47" s="1">
        <f>SUM(OSRRefD21_2x_2)</f>
        <v>349.4</v>
      </c>
      <c r="G47" s="1">
        <f>SUM(OSRRefD21_2x_3)</f>
        <v>0</v>
      </c>
      <c r="H47" s="1">
        <f>SUM(OSRRefD21_2x_4)</f>
        <v>123.48</v>
      </c>
      <c r="I47" s="1">
        <f>SUM(OSRRefD21_2x_5)</f>
        <v>68.040000000000006</v>
      </c>
      <c r="J47" s="1">
        <f>SUM(OSRRefE21_2x_0)</f>
        <v>600</v>
      </c>
      <c r="K47" s="1">
        <f>SUM(OSRRefE21_2x_1)</f>
        <v>600</v>
      </c>
      <c r="L47" s="1">
        <f>SUM(OSRRefE21_2x_2)</f>
        <v>600</v>
      </c>
      <c r="M47" s="1">
        <f>SUM(OSRRefE21_2x_3)</f>
        <v>600</v>
      </c>
      <c r="N47" s="1">
        <f>SUM(OSRRefE21_2x_4)</f>
        <v>600</v>
      </c>
      <c r="O47" s="1">
        <f>SUM(OSRRefE21_2x_5)</f>
        <v>600</v>
      </c>
      <c r="Q47" s="2">
        <f>SUM(OSRRefD20_2x)+IFERROR(SUM(OSRRefE20_2x),0)</f>
        <v>4805.8899999999994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624.66</v>
      </c>
      <c r="F48" s="2">
        <v>349.4</v>
      </c>
      <c r="G48" s="2"/>
      <c r="H48" s="2">
        <v>123.48</v>
      </c>
      <c r="I48" s="2">
        <v>68.040000000000006</v>
      </c>
      <c r="J48" s="2">
        <v>600</v>
      </c>
      <c r="K48" s="2">
        <v>600</v>
      </c>
      <c r="L48" s="2">
        <v>600</v>
      </c>
      <c r="M48" s="2">
        <v>600</v>
      </c>
      <c r="N48" s="2">
        <v>600</v>
      </c>
      <c r="O48" s="2">
        <v>600</v>
      </c>
      <c r="P48" s="9"/>
      <c r="Q48" s="2">
        <f>SUM(OSRRefD21_2_0x)+IFERROR(SUM(OSRRefE21_2_0x),0)</f>
        <v>4805.8899999999994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SUM(OSRRefD21_3x_4)</f>
        <v>-8</v>
      </c>
      <c r="I49" s="1">
        <f>SUM(OSRRefD21_3x_5)</f>
        <v>0</v>
      </c>
      <c r="J49" s="1">
        <f>SUM(OSRRefE21_3x_0)</f>
        <v>15</v>
      </c>
      <c r="K49" s="1">
        <f>SUM(OSRRefE21_3x_1)</f>
        <v>15</v>
      </c>
      <c r="L49" s="1">
        <f>SUM(OSRRefE21_3x_2)</f>
        <v>15</v>
      </c>
      <c r="M49" s="1">
        <f>SUM(OSRRefE21_3x_3)</f>
        <v>15</v>
      </c>
      <c r="N49" s="1">
        <f>SUM(OSRRefE21_3x_4)</f>
        <v>15</v>
      </c>
      <c r="O49" s="1">
        <f>SUM(OSRRefE21_3x_5)</f>
        <v>15</v>
      </c>
      <c r="Q49" s="2">
        <f>SUM(OSRRefD20_3x)+IFERROR(SUM(OSRRefE20_3x),0)</f>
        <v>66.099999999999994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-8</v>
      </c>
      <c r="I50" s="2"/>
      <c r="J50" s="2">
        <v>15</v>
      </c>
      <c r="K50" s="2">
        <v>15</v>
      </c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SUM(OSRRefD21_3_0x)+IFERROR(SUM(OSRRefE21_3_0x),0)</f>
        <v>66.099999999999994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40.549999999999997</v>
      </c>
      <c r="F51" s="1">
        <f>SUM(OSRRefD21_4x_2)</f>
        <v>54.15</v>
      </c>
      <c r="G51" s="1">
        <f>SUM(OSRRefD21_4x_3)</f>
        <v>51.38</v>
      </c>
      <c r="H51" s="1">
        <f>SUM(OSRRefD21_4x_4)</f>
        <v>41.17</v>
      </c>
      <c r="I51" s="1">
        <f>SUM(OSRRefD21_4x_5)</f>
        <v>68.28</v>
      </c>
      <c r="J51" s="1">
        <f>SUM(OSRRefE21_4x_0)</f>
        <v>250</v>
      </c>
      <c r="K51" s="1">
        <f>SUM(OSRRefE21_4x_1)</f>
        <v>250</v>
      </c>
      <c r="L51" s="1">
        <f>SUM(OSRRefE21_4x_2)</f>
        <v>250</v>
      </c>
      <c r="M51" s="1">
        <f>SUM(OSRRefE21_4x_3)</f>
        <v>250</v>
      </c>
      <c r="N51" s="1">
        <f>SUM(OSRRefE21_4x_4)</f>
        <v>250</v>
      </c>
      <c r="O51" s="1">
        <f>SUM(OSRRefE21_4x_5)</f>
        <v>250</v>
      </c>
      <c r="Q51" s="2">
        <f>SUM(OSRRefD20_4x)+IFERROR(SUM(OSRRefE20_4x),0)</f>
        <v>1755.53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40.549999999999997</v>
      </c>
      <c r="F52" s="2">
        <v>54.15</v>
      </c>
      <c r="G52" s="2">
        <v>51.38</v>
      </c>
      <c r="H52" s="2">
        <v>41.17</v>
      </c>
      <c r="I52" s="2">
        <v>68.28</v>
      </c>
      <c r="J52" s="2">
        <v>250</v>
      </c>
      <c r="K52" s="2">
        <v>250</v>
      </c>
      <c r="L52" s="2">
        <v>250</v>
      </c>
      <c r="M52" s="2">
        <v>250</v>
      </c>
      <c r="N52" s="2">
        <v>250</v>
      </c>
      <c r="O52" s="2">
        <v>250</v>
      </c>
      <c r="P52" s="9"/>
      <c r="Q52" s="2">
        <f>SUM(OSRRefD21_4_0x)+IFERROR(SUM(OSRRefE21_4_0x),0)</f>
        <v>1755.53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SUM(OSRRefD21_5x_4)</f>
        <v>273.51</v>
      </c>
      <c r="I53" s="1">
        <f>SUM(OSRRefD21_5x_5)</f>
        <v>273.51</v>
      </c>
      <c r="J53" s="1">
        <f>SUM(OSRRefE21_5x_0)</f>
        <v>0</v>
      </c>
      <c r="K53" s="1">
        <f>SUM(OSRRefE21_5x_1)</f>
        <v>0</v>
      </c>
      <c r="L53" s="1">
        <f>SUM(OSRRefE21_5x_2)</f>
        <v>0</v>
      </c>
      <c r="M53" s="1">
        <f>SUM(OSRRefE21_5x_3)</f>
        <v>0</v>
      </c>
      <c r="N53" s="1">
        <f>SUM(OSRRefE21_5x_4)</f>
        <v>0</v>
      </c>
      <c r="O53" s="1">
        <f>SUM(OSRRefE21_5x_5)</f>
        <v>0</v>
      </c>
      <c r="Q53" s="2">
        <f>SUM(OSRRefD20_5x)+IFERROR(SUM(OSRRefE20_5x),0)</f>
        <v>1641.06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273.51</v>
      </c>
      <c r="I54" s="2">
        <v>273.51</v>
      </c>
      <c r="J54" s="2"/>
      <c r="K54" s="2"/>
      <c r="L54" s="2"/>
      <c r="M54" s="2"/>
      <c r="N54" s="2"/>
      <c r="O54" s="2"/>
      <c r="P54" s="9"/>
      <c r="Q54" s="2">
        <f>SUM(OSRRefD21_5_0x)+IFERROR(SUM(OSRRefE21_5_0x),0)</f>
        <v>1641.06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2140.41</v>
      </c>
      <c r="F55" s="1">
        <f>SUM(OSRRefD21_6x_2)</f>
        <v>4853.7700000000004</v>
      </c>
      <c r="G55" s="1">
        <f>SUM(OSRRefD21_6x_3)</f>
        <v>5282.99</v>
      </c>
      <c r="H55" s="1">
        <f>SUM(OSRRefD21_6x_4)</f>
        <v>4226.3900000000003</v>
      </c>
      <c r="I55" s="1">
        <f>SUM(OSRRefD21_6x_5)</f>
        <v>1911.44</v>
      </c>
      <c r="J55" s="1">
        <f>SUM(OSRRefE21_6x_0)</f>
        <v>6000</v>
      </c>
      <c r="K55" s="1">
        <f>SUM(OSRRefE21_6x_1)</f>
        <v>6000</v>
      </c>
      <c r="L55" s="1">
        <f>SUM(OSRRefE21_6x_2)</f>
        <v>6000</v>
      </c>
      <c r="M55" s="1">
        <f>SUM(OSRRefE21_6x_3)</f>
        <v>6000</v>
      </c>
      <c r="N55" s="1">
        <f>SUM(OSRRefE21_6x_4)</f>
        <v>6000</v>
      </c>
      <c r="O55" s="1">
        <f>SUM(OSRRefE21_6x_5)</f>
        <v>0</v>
      </c>
      <c r="Q55" s="2">
        <f>SUM(OSRRefD20_6x)+IFERROR(SUM(OSRRefE20_6x),0)</f>
        <v>48415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2140.41</v>
      </c>
      <c r="F56" s="2">
        <v>4853.7700000000004</v>
      </c>
      <c r="G56" s="2">
        <v>5282.99</v>
      </c>
      <c r="H56" s="2">
        <v>4226.3900000000003</v>
      </c>
      <c r="I56" s="2">
        <v>1911.44</v>
      </c>
      <c r="J56" s="2">
        <v>6000</v>
      </c>
      <c r="K56" s="2">
        <v>6000</v>
      </c>
      <c r="L56" s="2">
        <v>6000</v>
      </c>
      <c r="M56" s="2">
        <v>6000</v>
      </c>
      <c r="N56" s="2">
        <v>6000</v>
      </c>
      <c r="O56" s="2"/>
      <c r="P56" s="9"/>
      <c r="Q56" s="2">
        <f>SUM(OSRRefD21_6_0x)+IFERROR(SUM(OSRRefE21_6_0x),0)</f>
        <v>48415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34.47</v>
      </c>
      <c r="I57" s="1">
        <f>SUM(OSRRefD21_7x_5)</f>
        <v>0</v>
      </c>
      <c r="J57" s="1">
        <f>SUM(OSRRefE21_7x_0)</f>
        <v>0</v>
      </c>
      <c r="K57" s="1">
        <f>SUM(OSRRefE21_7x_1)</f>
        <v>0</v>
      </c>
      <c r="L57" s="1">
        <f>SUM(OSRRefE21_7x_2)</f>
        <v>0</v>
      </c>
      <c r="M57" s="1">
        <f>SUM(OSRRefE21_7x_3)</f>
        <v>0</v>
      </c>
      <c r="N57" s="1">
        <f>SUM(OSRRefE21_7x_4)</f>
        <v>200</v>
      </c>
      <c r="O57" s="1">
        <f>SUM(OSRRefE21_7x_5)</f>
        <v>0</v>
      </c>
      <c r="Q57" s="2">
        <f>SUM(OSRRefD20_7x)+IFERROR(SUM(OSRRefE20_7x),0)</f>
        <v>234.47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>
        <v>34.47</v>
      </c>
      <c r="I58" s="2"/>
      <c r="J58" s="2"/>
      <c r="K58" s="2"/>
      <c r="L58" s="2"/>
      <c r="M58" s="2"/>
      <c r="N58" s="2">
        <v>200</v>
      </c>
      <c r="O58" s="2"/>
      <c r="P58" s="9"/>
      <c r="Q58" s="2">
        <f>SUM(OSRRefD21_7_0x)+IFERROR(SUM(OSRRefE21_7_0x),0)</f>
        <v>234.47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430.43</v>
      </c>
      <c r="E59" s="1">
        <f>SUM(OSRRefD21_8x_1)</f>
        <v>3767.24</v>
      </c>
      <c r="F59" s="1">
        <f>SUM(OSRRefD21_8x_2)</f>
        <v>184.94</v>
      </c>
      <c r="G59" s="1">
        <f>SUM(OSRRefD21_8x_3)</f>
        <v>1127.73</v>
      </c>
      <c r="H59" s="1">
        <f>SUM(OSRRefD21_8x_4)</f>
        <v>466.67</v>
      </c>
      <c r="I59" s="1">
        <f>SUM(OSRRefD21_8x_5)</f>
        <v>319.05</v>
      </c>
      <c r="J59" s="1">
        <f>SUM(OSRRefE21_8x_0)</f>
        <v>500</v>
      </c>
      <c r="K59" s="1">
        <f>SUM(OSRRefE21_8x_1)</f>
        <v>500</v>
      </c>
      <c r="L59" s="1">
        <f>SUM(OSRRefE21_8x_2)</f>
        <v>500</v>
      </c>
      <c r="M59" s="1">
        <f>SUM(OSRRefE21_8x_3)</f>
        <v>500</v>
      </c>
      <c r="N59" s="1">
        <f>SUM(OSRRefE21_8x_4)</f>
        <v>500</v>
      </c>
      <c r="O59" s="1">
        <f>SUM(OSRRefE21_8x_5)</f>
        <v>500</v>
      </c>
      <c r="Q59" s="2">
        <f>SUM(OSRRefD20_8x)+IFERROR(SUM(OSRRefE20_8x),0)</f>
        <v>9296.0600000000013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430.43</v>
      </c>
      <c r="E60" s="2">
        <v>3767.24</v>
      </c>
      <c r="F60" s="2">
        <v>184.94</v>
      </c>
      <c r="G60" s="2">
        <v>1127.73</v>
      </c>
      <c r="H60" s="2">
        <v>466.67</v>
      </c>
      <c r="I60" s="2">
        <v>319.05</v>
      </c>
      <c r="J60" s="2">
        <v>500</v>
      </c>
      <c r="K60" s="2">
        <v>500</v>
      </c>
      <c r="L60" s="2">
        <v>500</v>
      </c>
      <c r="M60" s="2">
        <v>500</v>
      </c>
      <c r="N60" s="2">
        <v>500</v>
      </c>
      <c r="O60" s="2">
        <v>500</v>
      </c>
      <c r="P60" s="9"/>
      <c r="Q60" s="2">
        <f>SUM(OSRRefD21_8_0x)+IFERROR(SUM(OSRRefE21_8_0x),0)</f>
        <v>9296.0600000000013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70.069999999999993</v>
      </c>
      <c r="E61" s="1">
        <f>SUM(OSRRefD21_9x_1)</f>
        <v>2334.5500000000002</v>
      </c>
      <c r="F61" s="1">
        <f>SUM(OSRRefD21_9x_2)</f>
        <v>5273</v>
      </c>
      <c r="G61" s="1">
        <f>SUM(OSRRefD21_9x_3)</f>
        <v>0</v>
      </c>
      <c r="H61" s="1">
        <f>SUM(OSRRefD21_9x_4)</f>
        <v>0</v>
      </c>
      <c r="I61" s="1">
        <f>SUM(OSRRefD21_9x_5)</f>
        <v>0</v>
      </c>
      <c r="J61" s="1">
        <f>SUM(OSRRefE21_9x_0)</f>
        <v>150</v>
      </c>
      <c r="K61" s="1">
        <f>SUM(OSRRefE21_9x_1)</f>
        <v>150</v>
      </c>
      <c r="L61" s="1">
        <f>SUM(OSRRefE21_9x_2)</f>
        <v>150</v>
      </c>
      <c r="M61" s="1">
        <f>SUM(OSRRefE21_9x_3)</f>
        <v>150</v>
      </c>
      <c r="N61" s="1">
        <f>SUM(OSRRefE21_9x_4)</f>
        <v>150</v>
      </c>
      <c r="O61" s="1">
        <f>SUM(OSRRefE21_9x_5)</f>
        <v>150</v>
      </c>
      <c r="Q61" s="2">
        <f>SUM(OSRRefD20_9x)+IFERROR(SUM(OSRRefE20_9x),0)</f>
        <v>8577.6200000000008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70.069999999999993</v>
      </c>
      <c r="E62" s="2">
        <v>2334.5500000000002</v>
      </c>
      <c r="F62" s="2">
        <v>5273</v>
      </c>
      <c r="G62" s="2"/>
      <c r="H62" s="2"/>
      <c r="I62" s="2"/>
      <c r="J62" s="2">
        <v>150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8577.6200000000008</v>
      </c>
    </row>
    <row r="63" spans="1:17" s="35" customFormat="1" collapsed="1" x14ac:dyDescent="0.3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16664.169999999998</v>
      </c>
      <c r="F63" s="1">
        <f>SUM(OSRRefD21_10x_2)</f>
        <v>42285.78</v>
      </c>
      <c r="G63" s="1">
        <f>SUM(OSRRefD21_10x_3)</f>
        <v>41262.06</v>
      </c>
      <c r="H63" s="1">
        <f>SUM(OSRRefD21_10x_4)</f>
        <v>32799.5</v>
      </c>
      <c r="I63" s="1">
        <f>SUM(OSRRefD21_10x_5)</f>
        <v>24667.119999999999</v>
      </c>
      <c r="J63" s="1">
        <f>SUM(OSRRefE21_10x_0)</f>
        <v>14256</v>
      </c>
      <c r="K63" s="1">
        <f>SUM(OSRRefE21_10x_1)</f>
        <v>36288</v>
      </c>
      <c r="L63" s="1">
        <f>SUM(OSRRefE21_10x_2)</f>
        <v>34992</v>
      </c>
      <c r="M63" s="1">
        <f>SUM(OSRRefE21_10x_3)</f>
        <v>34992</v>
      </c>
      <c r="N63" s="1">
        <f>SUM(OSRRefE21_10x_4)</f>
        <v>19440</v>
      </c>
      <c r="O63" s="1">
        <f>SUM(OSRRefE21_10x_5)</f>
        <v>0</v>
      </c>
      <c r="Q63" s="2">
        <f>SUM(OSRRefD20_10x)+IFERROR(SUM(OSRRefE20_10x),0)</f>
        <v>297646.63</v>
      </c>
    </row>
    <row r="64" spans="1:17" s="35" customFormat="1" hidden="1" outlineLevel="1" x14ac:dyDescent="0.3">
      <c r="A64" s="34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16664.169999999998</v>
      </c>
      <c r="F64" s="2">
        <v>42285.78</v>
      </c>
      <c r="G64" s="2">
        <v>41262.06</v>
      </c>
      <c r="H64" s="2">
        <v>32799.5</v>
      </c>
      <c r="I64" s="2">
        <v>24667.119999999999</v>
      </c>
      <c r="J64" s="2">
        <v>14256</v>
      </c>
      <c r="K64" s="2">
        <v>36288</v>
      </c>
      <c r="L64" s="2">
        <v>34992</v>
      </c>
      <c r="M64" s="2">
        <v>34992</v>
      </c>
      <c r="N64" s="2">
        <v>19440</v>
      </c>
      <c r="O64" s="2"/>
      <c r="P64" s="9"/>
      <c r="Q64" s="2">
        <f>SUM(OSRRefD21_10_0x)+IFERROR(SUM(OSRRefE21_10_0x),0)</f>
        <v>297646.63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111.83</v>
      </c>
      <c r="G65" s="1">
        <f>SUM(OSRRefD21_11x_3)</f>
        <v>1563.93</v>
      </c>
      <c r="H65" s="1">
        <f>SUM(OSRRefD21_11x_4)</f>
        <v>348.04</v>
      </c>
      <c r="I65" s="1">
        <f>SUM(OSRRefD21_11x_5)</f>
        <v>521.25</v>
      </c>
      <c r="J65" s="1">
        <f>SUM(OSRRefE21_11x_0)</f>
        <v>250</v>
      </c>
      <c r="K65" s="1">
        <f>SUM(OSRRefE21_11x_1)</f>
        <v>2050</v>
      </c>
      <c r="L65" s="1">
        <f>SUM(OSRRefE21_11x_2)</f>
        <v>250</v>
      </c>
      <c r="M65" s="1">
        <f>SUM(OSRRefE21_11x_3)</f>
        <v>250</v>
      </c>
      <c r="N65" s="1">
        <f>SUM(OSRRefE21_11x_4)</f>
        <v>2050</v>
      </c>
      <c r="O65" s="1">
        <f>SUM(OSRRefE21_11x_5)</f>
        <v>250</v>
      </c>
      <c r="Q65" s="2">
        <f>SUM(OSRRefD20_11x)+IFERROR(SUM(OSRRefE20_11x),0)</f>
        <v>7645.05</v>
      </c>
    </row>
    <row r="66" spans="1:17" s="35" customFormat="1" hidden="1" outlineLevel="1" x14ac:dyDescent="0.3">
      <c r="A66" s="34"/>
      <c r="B66" s="10" t="str">
        <f>CONCATENATE("          ","6371", " - ","COMPUTER SOFTWARE MAINTENANCE")</f>
        <v xml:space="preserve">          6371 - COMPUTER SOFTWARE MAINTENANCE</v>
      </c>
      <c r="C66" s="14"/>
      <c r="D66" s="2"/>
      <c r="E66" s="2"/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SUM(OSRRefD21_11_0x)+IFERROR(SUM(OSRRefE21_11_0x),0)</f>
        <v>0</v>
      </c>
    </row>
    <row r="67" spans="1:17" s="35" customFormat="1" hidden="1" outlineLevel="1" x14ac:dyDescent="0.3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83.83</v>
      </c>
      <c r="G67" s="2"/>
      <c r="H67" s="2">
        <v>19</v>
      </c>
      <c r="I67" s="2">
        <v>87.37</v>
      </c>
      <c r="J67" s="2"/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3790.2</v>
      </c>
    </row>
    <row r="68" spans="1:17" s="35" customFormat="1" hidden="1" outlineLevel="1" x14ac:dyDescent="0.3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/>
      <c r="F68" s="2">
        <v>28</v>
      </c>
      <c r="G68" s="2">
        <v>1563.93</v>
      </c>
      <c r="H68" s="2">
        <v>329.04</v>
      </c>
      <c r="I68" s="2">
        <v>433.88</v>
      </c>
      <c r="J68" s="2">
        <v>250</v>
      </c>
      <c r="K68" s="2">
        <v>250</v>
      </c>
      <c r="L68" s="2">
        <v>250</v>
      </c>
      <c r="M68" s="2">
        <v>250</v>
      </c>
      <c r="N68" s="2">
        <v>250</v>
      </c>
      <c r="O68" s="2">
        <v>250</v>
      </c>
      <c r="P68" s="9"/>
      <c r="Q68" s="2">
        <f>SUM(OSRRefD21_11_2x)+IFERROR(SUM(OSRRefE21_11_2x),0)</f>
        <v>3854.85</v>
      </c>
    </row>
    <row r="69" spans="1:17" s="35" customFormat="1" collapsed="1" x14ac:dyDescent="0.3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4846.3799999999992</v>
      </c>
      <c r="E69" s="1">
        <f>SUM(OSRRefD21_12x_1)</f>
        <v>5570.37</v>
      </c>
      <c r="F69" s="1">
        <f>SUM(OSRRefD21_12x_2)</f>
        <v>5138.04</v>
      </c>
      <c r="G69" s="1">
        <f>SUM(OSRRefD21_12x_3)</f>
        <v>5870.69</v>
      </c>
      <c r="H69" s="1">
        <f>SUM(OSRRefD21_12x_4)</f>
        <v>5187.8599999999997</v>
      </c>
      <c r="I69" s="1">
        <f>SUM(OSRRefD21_12x_5)</f>
        <v>4428.8599999999997</v>
      </c>
      <c r="J69" s="1">
        <f>SUM(OSRRefE21_12x_0)</f>
        <v>7150</v>
      </c>
      <c r="K69" s="1">
        <f>SUM(OSRRefE21_12x_1)</f>
        <v>7150</v>
      </c>
      <c r="L69" s="1">
        <f>SUM(OSRRefE21_12x_2)</f>
        <v>7150</v>
      </c>
      <c r="M69" s="1">
        <f>SUM(OSRRefE21_12x_3)</f>
        <v>7150</v>
      </c>
      <c r="N69" s="1">
        <f>SUM(OSRRefE21_12x_4)</f>
        <v>7150</v>
      </c>
      <c r="O69" s="1">
        <f>SUM(OSRRefE21_12x_5)</f>
        <v>7150</v>
      </c>
      <c r="Q69" s="2">
        <f>SUM(OSRRefD20_12x)+IFERROR(SUM(OSRRefE20_12x),0)</f>
        <v>73942.2</v>
      </c>
    </row>
    <row r="70" spans="1:17" s="35" customFormat="1" hidden="1" outlineLevel="1" x14ac:dyDescent="0.3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>
        <v>417.52</v>
      </c>
      <c r="E70" s="2"/>
      <c r="F70" s="2">
        <v>417.32</v>
      </c>
      <c r="G70" s="2">
        <v>1251.96</v>
      </c>
      <c r="H70" s="2">
        <v>417.32</v>
      </c>
      <c r="I70" s="2"/>
      <c r="J70" s="2">
        <v>450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5204.1200000000008</v>
      </c>
    </row>
    <row r="71" spans="1:17" s="35" customFormat="1" hidden="1" outlineLevel="1" x14ac:dyDescent="0.3">
      <c r="A71" s="34"/>
      <c r="B71" s="10" t="str">
        <f>CONCATENATE("          ","6284", " - ","TRASH REMOVAL EXPENSE")</f>
        <v xml:space="preserve">          6284 - TRASH REMOVAL EXPENSE</v>
      </c>
      <c r="C71" s="14"/>
      <c r="D71" s="2"/>
      <c r="E71" s="2"/>
      <c r="F71" s="2"/>
      <c r="G71" s="2"/>
      <c r="H71" s="2"/>
      <c r="I71" s="2"/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3000</v>
      </c>
    </row>
    <row r="72" spans="1:17" s="35" customFormat="1" hidden="1" outlineLevel="1" x14ac:dyDescent="0.3">
      <c r="A72" s="34"/>
      <c r="B72" s="10" t="str">
        <f>CONCATENATE("          ","6285", " - ","JANITORIAL SERVICES")</f>
        <v xml:space="preserve">          6285 - JANITORIAL SERVICES</v>
      </c>
      <c r="C72" s="14"/>
      <c r="D72" s="2">
        <v>4428.8599999999997</v>
      </c>
      <c r="E72" s="2">
        <v>4428.8599999999997</v>
      </c>
      <c r="F72" s="2">
        <v>4720.72</v>
      </c>
      <c r="G72" s="2">
        <v>4447.8599999999997</v>
      </c>
      <c r="H72" s="2">
        <v>4601</v>
      </c>
      <c r="I72" s="2">
        <v>4428.8599999999997</v>
      </c>
      <c r="J72" s="2">
        <v>4700</v>
      </c>
      <c r="K72" s="2">
        <v>4700</v>
      </c>
      <c r="L72" s="2">
        <v>4700</v>
      </c>
      <c r="M72" s="2">
        <v>4700</v>
      </c>
      <c r="N72" s="2">
        <v>4700</v>
      </c>
      <c r="O72" s="2">
        <v>4700</v>
      </c>
      <c r="P72" s="9"/>
      <c r="Q72" s="2">
        <f>SUM(OSRRefD21_12_2x)+IFERROR(SUM(OSRRefE21_12_2x),0)</f>
        <v>55256.160000000003</v>
      </c>
    </row>
    <row r="73" spans="1:17" s="35" customFormat="1" hidden="1" outlineLevel="1" x14ac:dyDescent="0.3">
      <c r="A73" s="34"/>
      <c r="B73" s="10" t="str">
        <f>CONCATENATE("          ","6286", " - ","LAUNDRY EXPENSE")</f>
        <v xml:space="preserve">          6286 - LAUNDRY EXPENSE</v>
      </c>
      <c r="C73" s="14"/>
      <c r="D73" s="2"/>
      <c r="E73" s="2">
        <v>1141.51</v>
      </c>
      <c r="F73" s="2"/>
      <c r="G73" s="2">
        <v>170.87</v>
      </c>
      <c r="H73" s="2">
        <v>169.54</v>
      </c>
      <c r="I73" s="2"/>
      <c r="J73" s="2">
        <v>1500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10481.92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SUM(OSRRefD21_13x_0)</f>
        <v>4.5</v>
      </c>
      <c r="E74" s="1">
        <f>SUM(OSRRefD21_13x_1)</f>
        <v>4110.21</v>
      </c>
      <c r="F74" s="1">
        <f>SUM(OSRRefD21_13x_2)</f>
        <v>10652.77</v>
      </c>
      <c r="G74" s="1">
        <f>SUM(OSRRefD21_13x_3)</f>
        <v>20510.460000000003</v>
      </c>
      <c r="H74" s="1">
        <f>SUM(OSRRefD21_13x_4)</f>
        <v>3616.43</v>
      </c>
      <c r="I74" s="1">
        <f>SUM(OSRRefD21_13x_5)</f>
        <v>4928.51</v>
      </c>
      <c r="J74" s="1">
        <f>SUM(OSRRefE21_13x_0)</f>
        <v>11396</v>
      </c>
      <c r="K74" s="1">
        <f>SUM(OSRRefE21_13x_1)</f>
        <v>11396</v>
      </c>
      <c r="L74" s="1">
        <f>SUM(OSRRefE21_13x_2)</f>
        <v>11396</v>
      </c>
      <c r="M74" s="1">
        <f>SUM(OSRRefE21_13x_3)</f>
        <v>11396</v>
      </c>
      <c r="N74" s="1">
        <f>SUM(OSRRefE21_13x_4)</f>
        <v>11396</v>
      </c>
      <c r="O74" s="1">
        <f>SUM(OSRRefE21_13x_5)</f>
        <v>11394</v>
      </c>
      <c r="Q74" s="2">
        <f>SUM(OSRRefD20_13x)+IFERROR(SUM(OSRRefE20_13x),0)</f>
        <v>112196.88</v>
      </c>
    </row>
    <row r="75" spans="1:17" s="35" customFormat="1" hidden="1" outlineLevel="1" x14ac:dyDescent="0.3">
      <c r="A75" s="34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>
        <v>21.98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21.98</v>
      </c>
    </row>
    <row r="76" spans="1:17" s="35" customFormat="1" hidden="1" outlineLevel="1" x14ac:dyDescent="0.3">
      <c r="A76" s="34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903.33</v>
      </c>
      <c r="F76" s="2">
        <v>4548.71</v>
      </c>
      <c r="G76" s="2"/>
      <c r="H76" s="2">
        <v>971.16</v>
      </c>
      <c r="I76" s="2">
        <v>1102.43</v>
      </c>
      <c r="J76" s="2">
        <v>4000</v>
      </c>
      <c r="K76" s="2">
        <v>4000</v>
      </c>
      <c r="L76" s="2">
        <v>4000</v>
      </c>
      <c r="M76" s="2">
        <v>4000</v>
      </c>
      <c r="N76" s="2">
        <v>4000</v>
      </c>
      <c r="O76" s="2">
        <v>4000</v>
      </c>
      <c r="P76" s="9"/>
      <c r="Q76" s="2">
        <f>SUM(OSRRefD21_13_1x)+IFERROR(SUM(OSRRefE21_13_1x),0)</f>
        <v>31525.63</v>
      </c>
    </row>
    <row r="77" spans="1:17" s="35" customFormat="1" hidden="1" outlineLevel="1" x14ac:dyDescent="0.3">
      <c r="A77" s="34"/>
      <c r="B77" s="10" t="str">
        <f>CONCATENATE("          ","6239", " - ","KITCHEN SUPPLIES")</f>
        <v xml:space="preserve">          6239 - KITCHEN SUPPLIES</v>
      </c>
      <c r="C77" s="14"/>
      <c r="D77" s="2"/>
      <c r="E77" s="2">
        <v>400.56</v>
      </c>
      <c r="F77" s="2">
        <v>2699.53</v>
      </c>
      <c r="G77" s="2">
        <v>2456.84</v>
      </c>
      <c r="H77" s="2"/>
      <c r="I77" s="2"/>
      <c r="J77" s="2">
        <v>1500</v>
      </c>
      <c r="K77" s="2">
        <v>1500</v>
      </c>
      <c r="L77" s="2">
        <v>1500</v>
      </c>
      <c r="M77" s="2">
        <v>1500</v>
      </c>
      <c r="N77" s="2">
        <v>1500</v>
      </c>
      <c r="O77" s="2">
        <v>1500</v>
      </c>
      <c r="P77" s="9"/>
      <c r="Q77" s="2">
        <f>SUM(OSRRefD21_13_2x)+IFERROR(SUM(OSRRefE21_13_2x),0)</f>
        <v>14556.93</v>
      </c>
    </row>
    <row r="78" spans="1:17" s="35" customFormat="1" hidden="1" outlineLevel="1" x14ac:dyDescent="0.3">
      <c r="A78" s="34"/>
      <c r="B78" s="10" t="str">
        <f>CONCATENATE("          ","6241", " - ","OFFICE EXPENSE")</f>
        <v xml:space="preserve">          6241 - OFFICE EXPENSE</v>
      </c>
      <c r="C78" s="14"/>
      <c r="D78" s="2">
        <v>4.5</v>
      </c>
      <c r="E78" s="2">
        <v>561.9</v>
      </c>
      <c r="F78" s="2">
        <v>1157.3399999999999</v>
      </c>
      <c r="G78" s="2">
        <v>1034.02</v>
      </c>
      <c r="H78" s="2">
        <v>39.69</v>
      </c>
      <c r="I78" s="2">
        <v>165.39</v>
      </c>
      <c r="J78" s="2">
        <v>500</v>
      </c>
      <c r="K78" s="2">
        <v>500</v>
      </c>
      <c r="L78" s="2">
        <v>500</v>
      </c>
      <c r="M78" s="2">
        <v>500</v>
      </c>
      <c r="N78" s="2">
        <v>500</v>
      </c>
      <c r="O78" s="2">
        <v>500</v>
      </c>
      <c r="P78" s="9"/>
      <c r="Q78" s="2">
        <f>SUM(OSRRefD21_13_3x)+IFERROR(SUM(OSRRefE21_13_3x),0)</f>
        <v>5962.84</v>
      </c>
    </row>
    <row r="79" spans="1:17" s="35" customFormat="1" hidden="1" outlineLevel="1" x14ac:dyDescent="0.3">
      <c r="A79" s="34"/>
      <c r="B79" s="10" t="str">
        <f>CONCATENATE("          ","6243", " - ","PAPER SUPPLIES")</f>
        <v xml:space="preserve">          6243 - PAPER SUPPLIES</v>
      </c>
      <c r="C79" s="14"/>
      <c r="D79" s="2"/>
      <c r="E79" s="2">
        <v>2244.42</v>
      </c>
      <c r="F79" s="2">
        <v>2097.87</v>
      </c>
      <c r="G79" s="2">
        <v>15068.61</v>
      </c>
      <c r="H79" s="2">
        <v>2605.58</v>
      </c>
      <c r="I79" s="2">
        <v>3660.69</v>
      </c>
      <c r="J79" s="2">
        <v>5000</v>
      </c>
      <c r="K79" s="2">
        <v>5000</v>
      </c>
      <c r="L79" s="2">
        <v>5000</v>
      </c>
      <c r="M79" s="2">
        <v>5000</v>
      </c>
      <c r="N79" s="2">
        <v>5000</v>
      </c>
      <c r="O79" s="2">
        <v>5000</v>
      </c>
      <c r="P79" s="9"/>
      <c r="Q79" s="2">
        <f>SUM(OSRRefD21_13_4x)+IFERROR(SUM(OSRRefE21_13_4x),0)</f>
        <v>55677.17</v>
      </c>
    </row>
    <row r="80" spans="1:17" s="35" customFormat="1" hidden="1" outlineLevel="1" x14ac:dyDescent="0.3">
      <c r="A80" s="34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/>
      <c r="H80" s="2"/>
      <c r="I80" s="2"/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SUM(OSRRefD21_13_5x)+IFERROR(SUM(OSRRefE21_13_5x),0)</f>
        <v>1200</v>
      </c>
    </row>
    <row r="81" spans="1:17" s="35" customFormat="1" hidden="1" outlineLevel="1" x14ac:dyDescent="0.3">
      <c r="A81" s="34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>
        <v>80.59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SUM(OSRRefD21_13_6x)+IFERROR(SUM(OSRRefE21_13_6x),0)</f>
        <v>207.93</v>
      </c>
    </row>
    <row r="82" spans="1:17" s="35" customFormat="1" hidden="1" outlineLevel="1" x14ac:dyDescent="0.3">
      <c r="A82" s="34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1870.4</v>
      </c>
      <c r="H82" s="2"/>
      <c r="I82" s="2"/>
      <c r="J82" s="2">
        <v>196</v>
      </c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SUM(OSRRefD21_13_7x)+IFERROR(SUM(OSRRefE21_13_7x),0)</f>
        <v>3044.4</v>
      </c>
    </row>
    <row r="83" spans="1:17" s="35" customFormat="1" collapsed="1" x14ac:dyDescent="0.3">
      <c r="A83" s="34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SUM(OSRRefD21_14x_0)</f>
        <v>164</v>
      </c>
      <c r="E83" s="1">
        <f>SUM(OSRRefD21_14x_1)</f>
        <v>164</v>
      </c>
      <c r="F83" s="1">
        <f>SUM(OSRRefD21_14x_2)</f>
        <v>239</v>
      </c>
      <c r="G83" s="1">
        <f>SUM(OSRRefD21_14x_3)</f>
        <v>389</v>
      </c>
      <c r="H83" s="1">
        <f>SUM(OSRRefD21_14x_4)</f>
        <v>239</v>
      </c>
      <c r="I83" s="1">
        <f>SUM(OSRRefD21_14x_5)</f>
        <v>89</v>
      </c>
      <c r="J83" s="1">
        <f>SUM(OSRRefE21_14x_0)</f>
        <v>175</v>
      </c>
      <c r="K83" s="1">
        <f>SUM(OSRRefE21_14x_1)</f>
        <v>175</v>
      </c>
      <c r="L83" s="1">
        <f>SUM(OSRRefE21_14x_2)</f>
        <v>175</v>
      </c>
      <c r="M83" s="1">
        <f>SUM(OSRRefE21_14x_3)</f>
        <v>175</v>
      </c>
      <c r="N83" s="1">
        <f>SUM(OSRRefE21_14x_4)</f>
        <v>175</v>
      </c>
      <c r="O83" s="1">
        <f>SUM(OSRRefE21_14x_5)</f>
        <v>175</v>
      </c>
      <c r="Q83" s="2">
        <f>SUM(OSRRefD20_14x)+IFERROR(SUM(OSRRefE20_14x),0)</f>
        <v>2334</v>
      </c>
    </row>
    <row r="84" spans="1:17" s="35" customFormat="1" hidden="1" outlineLevel="1" x14ac:dyDescent="0.3">
      <c r="A84" s="34"/>
      <c r="B84" s="10" t="str">
        <f>CONCATENATE("          ","6309", " - ","TELEPHONE")</f>
        <v xml:space="preserve">          6309 - TELEPHONE</v>
      </c>
      <c r="C84" s="14"/>
      <c r="D84" s="2">
        <v>164</v>
      </c>
      <c r="E84" s="2">
        <v>164</v>
      </c>
      <c r="F84" s="2">
        <v>239</v>
      </c>
      <c r="G84" s="2">
        <v>389</v>
      </c>
      <c r="H84" s="2">
        <v>239</v>
      </c>
      <c r="I84" s="2">
        <v>89</v>
      </c>
      <c r="J84" s="2">
        <v>175</v>
      </c>
      <c r="K84" s="2">
        <v>175</v>
      </c>
      <c r="L84" s="2">
        <v>175</v>
      </c>
      <c r="M84" s="2">
        <v>175</v>
      </c>
      <c r="N84" s="2">
        <v>175</v>
      </c>
      <c r="O84" s="2">
        <v>175</v>
      </c>
      <c r="P84" s="9"/>
      <c r="Q84" s="2">
        <f>SUM(OSRRefD21_14_0x)+IFERROR(SUM(OSRRefE21_14_0x),0)</f>
        <v>2334</v>
      </c>
    </row>
    <row r="85" spans="1:17" s="35" customFormat="1" collapsed="1" x14ac:dyDescent="0.3">
      <c r="A85" s="34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SUM(OSRRefD21_15x_0)</f>
        <v>0</v>
      </c>
      <c r="E85" s="1">
        <f>SUM(OSRRefD21_15x_1)</f>
        <v>0</v>
      </c>
      <c r="F85" s="1">
        <f>SUM(OSRRefD21_15x_2)</f>
        <v>0</v>
      </c>
      <c r="G85" s="1">
        <f>SUM(OSRRefD21_15x_3)</f>
        <v>0</v>
      </c>
      <c r="H85" s="1">
        <f>SUM(OSRRefD21_15x_4)</f>
        <v>0</v>
      </c>
      <c r="I85" s="1">
        <f>SUM(OSRRefD21_15x_5)</f>
        <v>0</v>
      </c>
      <c r="J85" s="1">
        <f>SUM(OSRRefE21_15x_0)</f>
        <v>1000</v>
      </c>
      <c r="K85" s="1">
        <f>SUM(OSRRefE21_15x_1)</f>
        <v>0</v>
      </c>
      <c r="L85" s="1">
        <f>SUM(OSRRefE21_15x_2)</f>
        <v>0</v>
      </c>
      <c r="M85" s="1">
        <f>SUM(OSRRefE21_15x_3)</f>
        <v>0</v>
      </c>
      <c r="N85" s="1">
        <f>SUM(OSRRefE21_15x_4)</f>
        <v>0</v>
      </c>
      <c r="O85" s="1">
        <f>SUM(OSRRefE21_15x_5)</f>
        <v>1000</v>
      </c>
      <c r="Q85" s="2">
        <f>SUM(OSRRefD20_15x)+IFERROR(SUM(OSRRefE20_15x),0)</f>
        <v>2000</v>
      </c>
    </row>
    <row r="86" spans="1:17" s="35" customFormat="1" hidden="1" outlineLevel="1" x14ac:dyDescent="0.3">
      <c r="A86" s="34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/>
      <c r="I86" s="2"/>
      <c r="J86" s="2">
        <v>1000</v>
      </c>
      <c r="K86" s="2"/>
      <c r="L86" s="2"/>
      <c r="M86" s="2"/>
      <c r="N86" s="2"/>
      <c r="O86" s="2">
        <v>1000</v>
      </c>
      <c r="P86" s="9"/>
      <c r="Q86" s="2">
        <f>SUM(OSRRefD21_15_0x)+IFERROR(SUM(OSRRefE21_15_0x),0)</f>
        <v>2000</v>
      </c>
    </row>
    <row r="87" spans="1:17" s="29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I88" si="4">0</f>
        <v>0</v>
      </c>
      <c r="E88" s="3">
        <f t="shared" si="4"/>
        <v>0</v>
      </c>
      <c r="F88" s="3">
        <f t="shared" si="4"/>
        <v>0</v>
      </c>
      <c r="G88" s="3">
        <f t="shared" si="4"/>
        <v>0</v>
      </c>
      <c r="H88" s="3">
        <f t="shared" si="4"/>
        <v>0</v>
      </c>
      <c r="I88" s="3">
        <f t="shared" si="4"/>
        <v>0</v>
      </c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5">IFERROR(+D21-D24+D88, 0)</f>
        <v>-41498.81</v>
      </c>
      <c r="E90" s="7">
        <f t="shared" si="5"/>
        <v>67998.03</v>
      </c>
      <c r="F90" s="7">
        <f t="shared" si="5"/>
        <v>281582.01000000007</v>
      </c>
      <c r="G90" s="7">
        <f t="shared" si="5"/>
        <v>147243.64999999997</v>
      </c>
      <c r="H90" s="7">
        <f t="shared" si="5"/>
        <v>148237.73000000007</v>
      </c>
      <c r="I90" s="7">
        <f t="shared" si="5"/>
        <v>95057.420000000042</v>
      </c>
      <c r="J90" s="7">
        <f t="shared" si="5"/>
        <v>-53742.027371153876</v>
      </c>
      <c r="K90" s="7">
        <f t="shared" si="5"/>
        <v>159355.82810307699</v>
      </c>
      <c r="L90" s="7">
        <f t="shared" si="5"/>
        <v>150463.82810307699</v>
      </c>
      <c r="M90" s="7">
        <f t="shared" si="5"/>
        <v>129021.97262884612</v>
      </c>
      <c r="N90" s="7">
        <f t="shared" si="5"/>
        <v>29786.584103076981</v>
      </c>
      <c r="O90" s="7">
        <f t="shared" si="5"/>
        <v>-89793.209896923028</v>
      </c>
      <c r="Q90" s="7">
        <f>IFERROR(+Q21-Q24+Q88, 0)</f>
        <v>1023713.0056700003</v>
      </c>
    </row>
    <row r="91" spans="1:17" s="6" customFormat="1" x14ac:dyDescent="0.3">
      <c r="B91" s="16"/>
      <c r="C91" s="16"/>
      <c r="D91" s="4">
        <f t="shared" ref="D91:O91" si="6">IFERROR(D90/D10, 0)</f>
        <v>0</v>
      </c>
      <c r="E91" s="4">
        <f t="shared" si="6"/>
        <v>0.3231191154681079</v>
      </c>
      <c r="F91" s="4">
        <f t="shared" si="6"/>
        <v>0.48712937872262163</v>
      </c>
      <c r="G91" s="4">
        <f t="shared" si="6"/>
        <v>0.28258551584002817</v>
      </c>
      <c r="H91" s="4">
        <f t="shared" si="6"/>
        <v>0.35787185528931564</v>
      </c>
      <c r="I91" s="4">
        <f t="shared" si="6"/>
        <v>0.30601083924575467</v>
      </c>
      <c r="J91" s="4">
        <f t="shared" si="6"/>
        <v>-0.30158264518043704</v>
      </c>
      <c r="K91" s="4">
        <f t="shared" si="6"/>
        <v>0.35131355401912917</v>
      </c>
      <c r="L91" s="4">
        <f t="shared" si="6"/>
        <v>0.34399594902395286</v>
      </c>
      <c r="M91" s="4">
        <f t="shared" si="6"/>
        <v>0.29497478881766376</v>
      </c>
      <c r="N91" s="4">
        <f t="shared" si="6"/>
        <v>0.12257853540360897</v>
      </c>
      <c r="O91" s="4">
        <f t="shared" si="6"/>
        <v>0</v>
      </c>
      <c r="P91" s="18"/>
      <c r="Q91" s="4">
        <f>IFERROR(Q90/Q10, 0)</f>
        <v>0.270537319421012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31447.08</v>
      </c>
      <c r="F93" s="3">
        <v>66148.289999999994</v>
      </c>
      <c r="G93" s="3">
        <v>53777.2</v>
      </c>
      <c r="H93" s="3">
        <v>53948.09</v>
      </c>
      <c r="I93" s="3">
        <v>39561.599999999999</v>
      </c>
      <c r="J93" s="3">
        <v>14753</v>
      </c>
      <c r="K93" s="3">
        <v>49377</v>
      </c>
      <c r="L93" s="3">
        <v>52127</v>
      </c>
      <c r="M93" s="3">
        <v>57362</v>
      </c>
      <c r="N93" s="3">
        <v>33270</v>
      </c>
      <c r="O93" s="3">
        <v>-37665</v>
      </c>
      <c r="Q93" s="2">
        <f>SUM(OSRRefD28_0x)+IFERROR(SUM(OSRRefE28_0x),0)</f>
        <v>414106.26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7">IFERROR(+D90-D93, 0)</f>
        <v>-41498.81</v>
      </c>
      <c r="E95" s="8">
        <f t="shared" si="7"/>
        <v>36550.949999999997</v>
      </c>
      <c r="F95" s="8">
        <f t="shared" si="7"/>
        <v>215433.72000000009</v>
      </c>
      <c r="G95" s="8">
        <f t="shared" si="7"/>
        <v>93466.449999999968</v>
      </c>
      <c r="H95" s="8">
        <f t="shared" si="7"/>
        <v>94289.640000000072</v>
      </c>
      <c r="I95" s="8">
        <f t="shared" si="7"/>
        <v>55495.820000000043</v>
      </c>
      <c r="J95" s="8">
        <f t="shared" si="7"/>
        <v>-68495.027371153876</v>
      </c>
      <c r="K95" s="8">
        <f t="shared" si="7"/>
        <v>109978.82810307699</v>
      </c>
      <c r="L95" s="8">
        <f t="shared" si="7"/>
        <v>98336.828103076987</v>
      </c>
      <c r="M95" s="8">
        <f t="shared" si="7"/>
        <v>71659.972628846124</v>
      </c>
      <c r="N95" s="8">
        <f t="shared" si="7"/>
        <v>-3483.4158969230193</v>
      </c>
      <c r="O95" s="8">
        <f t="shared" si="7"/>
        <v>-52128.209896923028</v>
      </c>
      <c r="Q95" s="8">
        <f>IFERROR(+Q90-Q93, 0)</f>
        <v>609606.74567000032</v>
      </c>
    </row>
    <row r="96" spans="1:17" ht="15" thickTop="1" x14ac:dyDescent="0.3">
      <c r="A96" s="5"/>
      <c r="B96" s="5"/>
      <c r="C96" s="5"/>
      <c r="D96" s="4">
        <f t="shared" ref="D96:O96" si="8">IFERROR(D95/D10, 0)</f>
        <v>0</v>
      </c>
      <c r="E96" s="4">
        <f t="shared" si="8"/>
        <v>0.17368607051585228</v>
      </c>
      <c r="F96" s="4">
        <f t="shared" si="8"/>
        <v>0.37269459856296661</v>
      </c>
      <c r="G96" s="4">
        <f t="shared" si="8"/>
        <v>0.1793779561087096</v>
      </c>
      <c r="H96" s="4">
        <f t="shared" si="8"/>
        <v>0.22763171293409362</v>
      </c>
      <c r="I96" s="4">
        <f t="shared" si="8"/>
        <v>0.17865330715720396</v>
      </c>
      <c r="J96" s="4">
        <f t="shared" si="8"/>
        <v>-0.38437164630277149</v>
      </c>
      <c r="K96" s="4">
        <f t="shared" si="8"/>
        <v>0.24245773391330905</v>
      </c>
      <c r="L96" s="4">
        <f t="shared" si="8"/>
        <v>0.22482128052829672</v>
      </c>
      <c r="M96" s="4">
        <f t="shared" si="8"/>
        <v>0.16383167039059471</v>
      </c>
      <c r="N96" s="4">
        <f t="shared" si="8"/>
        <v>-1.4335044843304607E-2</v>
      </c>
      <c r="O96" s="4">
        <f t="shared" si="8"/>
        <v>0</v>
      </c>
      <c r="P96" s="18"/>
      <c r="Q96" s="4">
        <f>IFERROR(Q95/Q10, 0)</f>
        <v>0.16110118164083562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9">IFERROR(SUM(D95:D98), 0)</f>
        <v>-41498.81</v>
      </c>
      <c r="E99" s="8">
        <f t="shared" si="9"/>
        <v>36551.12368607051</v>
      </c>
      <c r="F99" s="8">
        <f t="shared" si="9"/>
        <v>215434.09269459866</v>
      </c>
      <c r="G99" s="8">
        <f t="shared" si="9"/>
        <v>93466.62937795608</v>
      </c>
      <c r="H99" s="8">
        <f t="shared" si="9"/>
        <v>94289.867631713001</v>
      </c>
      <c r="I99" s="8">
        <f t="shared" si="9"/>
        <v>55495.998653307201</v>
      </c>
      <c r="J99" s="8">
        <f t="shared" si="9"/>
        <v>-68495.411742800177</v>
      </c>
      <c r="K99" s="8">
        <f t="shared" si="9"/>
        <v>109979.0705608109</v>
      </c>
      <c r="L99" s="8">
        <f t="shared" si="9"/>
        <v>98337.052924357515</v>
      </c>
      <c r="M99" s="8">
        <f t="shared" si="9"/>
        <v>71660.136460516514</v>
      </c>
      <c r="N99" s="8">
        <f t="shared" si="9"/>
        <v>-3483.4302319678627</v>
      </c>
      <c r="O99" s="8">
        <f t="shared" si="9"/>
        <v>-52128.209896923028</v>
      </c>
      <c r="Q99" s="8">
        <f>IFERROR(SUM(Q95:Q98), 0)</f>
        <v>609606.90677118197</v>
      </c>
    </row>
    <row r="100" spans="1:17" ht="15" thickTop="1" x14ac:dyDescent="0.3">
      <c r="A100" s="5"/>
      <c r="C100" s="5"/>
      <c r="D100" s="4">
        <f t="shared" ref="D100:O100" si="10">IFERROR(D99/D10, 0)</f>
        <v>0</v>
      </c>
      <c r="E100" s="4">
        <f t="shared" si="10"/>
        <v>0.17368689585284328</v>
      </c>
      <c r="F100" s="4">
        <f t="shared" si="10"/>
        <v>0.37269524331469717</v>
      </c>
      <c r="G100" s="4">
        <f t="shared" si="10"/>
        <v>0.17937830036540428</v>
      </c>
      <c r="H100" s="4">
        <f t="shared" si="10"/>
        <v>0.22763226247693558</v>
      </c>
      <c r="I100" s="4">
        <f t="shared" si="10"/>
        <v>0.17865388228167564</v>
      </c>
      <c r="J100" s="4">
        <f t="shared" si="10"/>
        <v>-0.38437380327048359</v>
      </c>
      <c r="K100" s="4">
        <f t="shared" si="10"/>
        <v>0.24245826843212279</v>
      </c>
      <c r="L100" s="4">
        <f t="shared" si="10"/>
        <v>0.22482179452299386</v>
      </c>
      <c r="M100" s="4">
        <f t="shared" si="10"/>
        <v>0.16383204494859743</v>
      </c>
      <c r="N100" s="4">
        <f t="shared" si="10"/>
        <v>-1.4335103835258694E-2</v>
      </c>
      <c r="O100" s="4">
        <f t="shared" si="10"/>
        <v>0</v>
      </c>
      <c r="P100" s="18"/>
      <c r="Q100" s="4">
        <f>IFERROR(Q99/Q10, 0)</f>
        <v>0.16110122421515244</v>
      </c>
    </row>
    <row r="101" spans="1:17" x14ac:dyDescent="0.3">
      <c r="A101" s="5"/>
      <c r="B101" s="28">
        <v>44575.850692245367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26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","444", " - ", "Parkside Dining Hall")</f>
        <v>Department 444 - Parkside Dining Hall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230888.82</v>
      </c>
      <c r="F10" s="3">
        <f>SUM(OSRRefD11x_2)</f>
        <v>686332.24</v>
      </c>
      <c r="G10" s="3">
        <f>SUM(OSRRefD11x_3)</f>
        <v>799980.21</v>
      </c>
      <c r="H10" s="3">
        <f>SUM(OSRRefD11x_4)</f>
        <v>639864.36</v>
      </c>
      <c r="I10" s="3">
        <f>SUM(OSRRefD11x_5)</f>
        <v>480584.42000000004</v>
      </c>
      <c r="J10" s="3">
        <f>SUM(OSRRefE11x_0)</f>
        <v>217800</v>
      </c>
      <c r="K10" s="3">
        <f>SUM(OSRRefE11x_1)</f>
        <v>554400</v>
      </c>
      <c r="L10" s="3">
        <f>SUM(OSRRefE11x_2)</f>
        <v>534600</v>
      </c>
      <c r="M10" s="3">
        <f>SUM(OSRRefE11x_3)</f>
        <v>534600</v>
      </c>
      <c r="N10" s="3">
        <f>SUM(OSRRefE11x_4)</f>
        <v>297000</v>
      </c>
      <c r="O10" s="3">
        <f>SUM(OSRRefE11x_5)</f>
        <v>0</v>
      </c>
      <c r="P10" s="24"/>
      <c r="Q10" s="3">
        <f>SUM(OSRRefG11x)</f>
        <v>4999037.3999999994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>--106.64</f>
        <v>106.64</v>
      </c>
      <c r="E11" s="2">
        <f>--80.88</f>
        <v>80.88</v>
      </c>
      <c r="F11" s="2">
        <f>--11.12</f>
        <v>11.12</v>
      </c>
      <c r="G11" s="2">
        <f>--195.5</f>
        <v>195.5</v>
      </c>
      <c r="H11" s="2">
        <f>--93.84</f>
        <v>93.84</v>
      </c>
      <c r="I11" s="2">
        <f>--88.78</f>
        <v>88.78</v>
      </c>
      <c r="J11" s="2"/>
      <c r="K11" s="2"/>
      <c r="L11" s="2"/>
      <c r="M11" s="2"/>
      <c r="N11" s="2"/>
      <c r="O11" s="2"/>
      <c r="Q11" s="2">
        <f>SUM(OSRRefD11_0x)+IFERROR(SUM(OSRRefE11_0x),0)</f>
        <v>576.76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ref="D12:I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217800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2138400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>--19600</f>
        <v>19600</v>
      </c>
      <c r="E13" s="2">
        <f>--229419.92</f>
        <v>229419.92</v>
      </c>
      <c r="F13" s="2">
        <f>--682773.44</f>
        <v>682773.44</v>
      </c>
      <c r="G13" s="2">
        <f>--796990.21</f>
        <v>796990.21</v>
      </c>
      <c r="H13" s="2">
        <f>--638092.16</f>
        <v>638092.16</v>
      </c>
      <c r="I13" s="2">
        <f>--479494.12</f>
        <v>479494.12</v>
      </c>
      <c r="J13" s="2"/>
      <c r="K13" s="2"/>
      <c r="L13" s="2"/>
      <c r="M13" s="2"/>
      <c r="N13" s="2"/>
      <c r="O13" s="2"/>
      <c r="Q13" s="2">
        <f>SUM(OSRRefD11_2x)+IFERROR(SUM(OSRRefE11_2x),0)</f>
        <v>2846369.85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>--3280.71</f>
        <v>3280.71</v>
      </c>
      <c r="E14" s="2">
        <f>--1388.02</f>
        <v>1388.02</v>
      </c>
      <c r="F14" s="2">
        <f>--3547.68</f>
        <v>3547.68</v>
      </c>
      <c r="G14" s="2">
        <f>--2794.5</f>
        <v>2794.5</v>
      </c>
      <c r="H14" s="2">
        <f>--1678.36</f>
        <v>1678.36</v>
      </c>
      <c r="I14" s="2">
        <f>--1001.52</f>
        <v>1001.52</v>
      </c>
      <c r="J14" s="2"/>
      <c r="K14" s="2"/>
      <c r="L14" s="2"/>
      <c r="M14" s="2"/>
      <c r="N14" s="2"/>
      <c r="O14" s="2"/>
      <c r="Q14" s="2">
        <f>SUM(OSRRefD11_3x)+IFERROR(SUM(OSRRefE11_3x),0)</f>
        <v>13690.79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17128.84</v>
      </c>
      <c r="E16" s="3">
        <f>SUM(OSRRefD14x_1)</f>
        <v>91448.72</v>
      </c>
      <c r="F16" s="3">
        <f>SUM(OSRRefD14x_2)</f>
        <v>163730.09</v>
      </c>
      <c r="G16" s="3">
        <f>SUM(OSRRefD14x_3)</f>
        <v>222191.58</v>
      </c>
      <c r="H16" s="3">
        <f>SUM(OSRRefD14x_4)</f>
        <v>123227.99</v>
      </c>
      <c r="I16" s="3">
        <f>SUM(OSRRefD14x_5)</f>
        <v>115307.46</v>
      </c>
      <c r="J16" s="3">
        <f>SUM(OSRRefE14x_0)</f>
        <v>60984</v>
      </c>
      <c r="K16" s="3">
        <f>SUM(OSRRefE14x_1)</f>
        <v>144144</v>
      </c>
      <c r="L16" s="3">
        <f>SUM(OSRRefE14x_2)</f>
        <v>149688</v>
      </c>
      <c r="M16" s="3">
        <f>SUM(OSRRefE14x_3)</f>
        <v>149688</v>
      </c>
      <c r="N16" s="3">
        <f>SUM(OSRRefE14x_4)</f>
        <v>89100</v>
      </c>
      <c r="O16" s="3">
        <f>SUM(OSRRefE14x_5)</f>
        <v>0</v>
      </c>
      <c r="Q16" s="3">
        <f>SUM(OSRRefG14x)</f>
        <v>1326638.68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60984</v>
      </c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593604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17968.84</v>
      </c>
      <c r="E18" s="2">
        <v>101379.72</v>
      </c>
      <c r="F18" s="2">
        <v>166426.09</v>
      </c>
      <c r="G18" s="2">
        <v>220442.58</v>
      </c>
      <c r="H18" s="2">
        <v>121057.99</v>
      </c>
      <c r="I18" s="2">
        <v>97137.46</v>
      </c>
      <c r="J18" s="2"/>
      <c r="K18" s="2"/>
      <c r="L18" s="2"/>
      <c r="M18" s="2"/>
      <c r="N18" s="2"/>
      <c r="O18" s="2"/>
      <c r="Q18" s="2">
        <f>SUM(OSRRefD14_1x)+IFERROR(SUM(OSRRefE14_1x),0)</f>
        <v>724412.67999999993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-840</v>
      </c>
      <c r="E19" s="2">
        <v>-9931</v>
      </c>
      <c r="F19" s="2">
        <v>-2696</v>
      </c>
      <c r="G19" s="2">
        <v>1749</v>
      </c>
      <c r="H19" s="2">
        <v>2170</v>
      </c>
      <c r="I19" s="2">
        <v>18170</v>
      </c>
      <c r="J19" s="2"/>
      <c r="K19" s="2"/>
      <c r="L19" s="2"/>
      <c r="M19" s="2"/>
      <c r="N19" s="2"/>
      <c r="O19" s="2"/>
      <c r="Q19" s="2">
        <f>SUM(OSRRefD14_2x)+IFERROR(SUM(OSRRefE14_2x),0)</f>
        <v>8622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139440.1</v>
      </c>
      <c r="F21" s="7">
        <f t="shared" si="1"/>
        <v>522602.15</v>
      </c>
      <c r="G21" s="7">
        <f t="shared" si="1"/>
        <v>577788.63</v>
      </c>
      <c r="H21" s="7">
        <f t="shared" si="1"/>
        <v>516636.37</v>
      </c>
      <c r="I21" s="7">
        <f t="shared" si="1"/>
        <v>365276.96</v>
      </c>
      <c r="J21" s="7">
        <f t="shared" si="1"/>
        <v>156816</v>
      </c>
      <c r="K21" s="7">
        <f t="shared" si="1"/>
        <v>410256</v>
      </c>
      <c r="L21" s="7">
        <f t="shared" si="1"/>
        <v>384912</v>
      </c>
      <c r="M21" s="7">
        <f t="shared" si="1"/>
        <v>384912</v>
      </c>
      <c r="N21" s="7">
        <f t="shared" si="1"/>
        <v>207900</v>
      </c>
      <c r="O21" s="7">
        <f t="shared" si="1"/>
        <v>0</v>
      </c>
      <c r="Q21" s="7">
        <f>IFERROR(+Q10-Q16, 0)</f>
        <v>3672398.7199999997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0.60392746604188108</v>
      </c>
      <c r="F22" s="4">
        <f t="shared" si="2"/>
        <v>0.761441936634071</v>
      </c>
      <c r="G22" s="4">
        <f t="shared" si="2"/>
        <v>0.72225365424977206</v>
      </c>
      <c r="H22" s="4">
        <f t="shared" si="2"/>
        <v>0.80741544973687862</v>
      </c>
      <c r="I22" s="4">
        <f t="shared" si="2"/>
        <v>0.76006825190046734</v>
      </c>
      <c r="J22" s="4">
        <f t="shared" si="2"/>
        <v>0.72</v>
      </c>
      <c r="K22" s="4">
        <f t="shared" si="2"/>
        <v>0.74</v>
      </c>
      <c r="L22" s="4">
        <f t="shared" si="2"/>
        <v>0.72</v>
      </c>
      <c r="M22" s="4">
        <f t="shared" si="2"/>
        <v>0.72</v>
      </c>
      <c r="N22" s="4">
        <f t="shared" si="2"/>
        <v>0.7</v>
      </c>
      <c r="O22" s="4">
        <f t="shared" si="2"/>
        <v>0</v>
      </c>
      <c r="P22" s="18"/>
      <c r="Q22" s="4">
        <f>IFERROR(Q21/Q10, 0)</f>
        <v>0.73462117326827769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91690.75</v>
      </c>
      <c r="E24" s="12">
        <f>SUM(OSRRefD20x_1)</f>
        <v>129711.97</v>
      </c>
      <c r="F24" s="12">
        <f>SUM(OSRRefD20x_2)</f>
        <v>201112.06999999998</v>
      </c>
      <c r="G24" s="12">
        <f>SUM(OSRRefD20x_3)</f>
        <v>308528.08</v>
      </c>
      <c r="H24" s="12">
        <f>SUM(OSRRefD20x_4)</f>
        <v>196578.66000000003</v>
      </c>
      <c r="I24" s="12">
        <f>SUM(OSRRefD20x_5)</f>
        <v>186289.77</v>
      </c>
      <c r="J24" s="12">
        <f>SUM(OSRRefE20x_0)</f>
        <v>190696.89061402495</v>
      </c>
      <c r="K24" s="12">
        <f>SUM(OSRRefE20x_1)</f>
        <v>240141.37169121995</v>
      </c>
      <c r="L24" s="12">
        <f>SUM(OSRRefE20x_2)</f>
        <v>238542.37169121995</v>
      </c>
      <c r="M24" s="12">
        <f>SUM(OSRRefE20x_3)</f>
        <v>257994.46661402495</v>
      </c>
      <c r="N24" s="12">
        <f>SUM(OSRRefE20x_4)</f>
        <v>169867.87569121993</v>
      </c>
      <c r="O24" s="12">
        <f>SUM(OSRRefE20x_5)</f>
        <v>103302.49969121994</v>
      </c>
      <c r="Q24" s="12">
        <f>SUM(OSRRefG20x)</f>
        <v>2314456.7759929295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SUM(OSRRefD21_0x_1)</f>
        <v>30558.639999999999</v>
      </c>
      <c r="F25" s="1">
        <f>SUM(OSRRefD21_0x_2)</f>
        <v>31119.300000000003</v>
      </c>
      <c r="G25" s="1">
        <f>SUM(OSRRefD21_0x_3)</f>
        <v>37651.439999999995</v>
      </c>
      <c r="H25" s="1">
        <f>SUM(OSRRefD21_0x_4)</f>
        <v>30810.309999999998</v>
      </c>
      <c r="I25" s="1">
        <f>SUM(OSRRefD21_0x_5)</f>
        <v>28841.649999999998</v>
      </c>
      <c r="J25" s="1">
        <f>SUM(OSRRefE21_0x_0)</f>
        <v>44231.121325563421</v>
      </c>
      <c r="K25" s="1">
        <f>SUM(OSRRefE21_0x_1)</f>
        <v>40125.010660450738</v>
      </c>
      <c r="L25" s="1">
        <f>SUM(OSRRefE21_0x_2)</f>
        <v>40125.010660450738</v>
      </c>
      <c r="M25" s="1">
        <f>SUM(OSRRefE21_0x_3)</f>
        <v>47055.929325563433</v>
      </c>
      <c r="N25" s="1">
        <f>SUM(OSRRefE21_0x_4)</f>
        <v>37072.84266045074</v>
      </c>
      <c r="O25" s="1">
        <f>SUM(OSRRefE21_0x_5)</f>
        <v>34339.384660450742</v>
      </c>
      <c r="Q25" s="2">
        <f>SUM(OSRRefD20_0x)+IFERROR(SUM(OSRRefE20_0x),0)</f>
        <v>428682.8992929298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4392.45</v>
      </c>
      <c r="F26" s="2">
        <v>5155.2700000000004</v>
      </c>
      <c r="G26" s="2">
        <v>7863.4</v>
      </c>
      <c r="H26" s="2">
        <v>4780.8100000000004</v>
      </c>
      <c r="I26" s="2">
        <v>3919.17</v>
      </c>
      <c r="J26" s="2">
        <v>4391.0983236403799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52142.501282930003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2075.0500000000002</v>
      </c>
      <c r="F27" s="2">
        <v>3195.52</v>
      </c>
      <c r="G27" s="2">
        <v>4805.13</v>
      </c>
      <c r="H27" s="2">
        <v>3295.26</v>
      </c>
      <c r="I27" s="2">
        <v>3186.31</v>
      </c>
      <c r="J27" s="2">
        <v>3950.2365426730798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42881.098769899996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16426.810000000001</v>
      </c>
      <c r="F28" s="2">
        <v>16032.62</v>
      </c>
      <c r="G28" s="2">
        <v>14552.35</v>
      </c>
      <c r="H28" s="2">
        <v>15256.21</v>
      </c>
      <c r="I28" s="2">
        <v>14541.32</v>
      </c>
      <c r="J28" s="2">
        <v>25460.461538461499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227458.54999999981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149.87</v>
      </c>
      <c r="F29" s="2">
        <v>230.79</v>
      </c>
      <c r="G29" s="2">
        <v>347.02</v>
      </c>
      <c r="H29" s="2">
        <v>237.99</v>
      </c>
      <c r="I29" s="2">
        <v>230.12</v>
      </c>
      <c r="J29" s="2">
        <v>218.878541942308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2679.5844700999996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1434.5</v>
      </c>
      <c r="F30" s="2">
        <v>1434.5</v>
      </c>
      <c r="G30" s="2">
        <v>2151.75</v>
      </c>
      <c r="H30" s="2">
        <v>1432.43</v>
      </c>
      <c r="I30" s="2">
        <v>1491.88</v>
      </c>
      <c r="J30" s="2">
        <v>1758.3385519230801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18522.920470000001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>
        <v>691.24</v>
      </c>
      <c r="F32" s="2">
        <v>316.89999999999998</v>
      </c>
      <c r="G32" s="2">
        <v>461.01</v>
      </c>
      <c r="H32" s="2">
        <v>344.78</v>
      </c>
      <c r="I32" s="2">
        <v>341.07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2578.0300000000002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2542.33</v>
      </c>
      <c r="F33" s="2">
        <v>2432.7399999999998</v>
      </c>
      <c r="G33" s="2">
        <v>3436.63</v>
      </c>
      <c r="H33" s="2">
        <v>2493.56</v>
      </c>
      <c r="I33" s="2">
        <v>2549.44</v>
      </c>
      <c r="J33" s="2">
        <v>2459.9579134615401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28740.52115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1790.8</v>
      </c>
      <c r="F34" s="2">
        <v>1644.52</v>
      </c>
      <c r="G34" s="2">
        <v>2337.33</v>
      </c>
      <c r="H34" s="2">
        <v>1753.35</v>
      </c>
      <c r="I34" s="2">
        <v>1820.3</v>
      </c>
      <c r="J34" s="2">
        <v>3717.1499134615401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33789.423149999995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1055.5899999999999</v>
      </c>
      <c r="F35" s="2">
        <v>676.44</v>
      </c>
      <c r="G35" s="2">
        <v>1696.82</v>
      </c>
      <c r="H35" s="2">
        <v>1215.92</v>
      </c>
      <c r="I35" s="2">
        <v>762.04</v>
      </c>
      <c r="J35" s="2">
        <v>2275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19890.27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SUM(OSRRefD21_1x_1)</f>
        <v>60842.899999999994</v>
      </c>
      <c r="F36" s="1">
        <f>SUM(OSRRefD21_1x_2)</f>
        <v>88403.16</v>
      </c>
      <c r="G36" s="1">
        <f>SUM(OSRRefD21_1x_3)</f>
        <v>155091.72</v>
      </c>
      <c r="H36" s="1">
        <f>SUM(OSRRefD21_1x_4)</f>
        <v>92085.890000000014</v>
      </c>
      <c r="I36" s="1">
        <f>SUM(OSRRefD21_1x_5)</f>
        <v>92077.35</v>
      </c>
      <c r="J36" s="1">
        <f>SUM(OSRRefE21_1x_0)</f>
        <v>98050.76928846151</v>
      </c>
      <c r="K36" s="1">
        <f>SUM(OSRRefE21_1x_1)</f>
        <v>126673.3610307692</v>
      </c>
      <c r="L36" s="1">
        <f>SUM(OSRRefE21_1x_2)</f>
        <v>126673.3610307692</v>
      </c>
      <c r="M36" s="1">
        <f>SUM(OSRRefE21_1x_3)</f>
        <v>137194.53728846152</v>
      </c>
      <c r="N36" s="1">
        <f>SUM(OSRRefE21_1x_4)</f>
        <v>84379.033030769206</v>
      </c>
      <c r="O36" s="1">
        <f>SUM(OSRRefE21_1x_5)</f>
        <v>46501.115030769201</v>
      </c>
      <c r="Q36" s="2">
        <f>SUM(OSRRefD20_1x)+IFERROR(SUM(OSRRefE20_1x),0)</f>
        <v>1158576.7566999998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15794.86</v>
      </c>
      <c r="F38" s="2">
        <v>18135.740000000002</v>
      </c>
      <c r="G38" s="2">
        <v>21184.42</v>
      </c>
      <c r="H38" s="2">
        <v>14579.74</v>
      </c>
      <c r="I38" s="2">
        <v>15104.22</v>
      </c>
      <c r="J38" s="2">
        <v>19219.049288461501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204031.95629999982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18809.28</v>
      </c>
      <c r="F40" s="2">
        <v>31330.560000000001</v>
      </c>
      <c r="G40" s="2">
        <v>50633.87</v>
      </c>
      <c r="H40" s="2">
        <v>31684.03</v>
      </c>
      <c r="I40" s="2">
        <v>21916.48</v>
      </c>
      <c r="J40" s="2">
        <v>33386.832000000002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347391.71640000003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8216.98</v>
      </c>
      <c r="F41" s="2">
        <v>17998.93</v>
      </c>
      <c r="G41" s="2">
        <v>50818.2</v>
      </c>
      <c r="H41" s="2">
        <v>12002.98</v>
      </c>
      <c r="I41" s="2">
        <v>17344.400000000001</v>
      </c>
      <c r="J41" s="2">
        <v>12067.77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189912.02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16392.32</v>
      </c>
      <c r="F43" s="2">
        <v>19037.71</v>
      </c>
      <c r="G43" s="2">
        <v>26035.39</v>
      </c>
      <c r="H43" s="2">
        <v>23160.1</v>
      </c>
      <c r="I43" s="2">
        <v>22918.31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114821.62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1900.22</v>
      </c>
      <c r="G44" s="2">
        <v>6419.84</v>
      </c>
      <c r="H44" s="2">
        <v>10659.04</v>
      </c>
      <c r="I44" s="2">
        <v>14793.94</v>
      </c>
      <c r="J44" s="2">
        <v>33377.118000000002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302419.44400000002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624.13</v>
      </c>
      <c r="F47" s="1">
        <f>SUM(OSRRefD21_2x_2)</f>
        <v>290.82</v>
      </c>
      <c r="G47" s="1">
        <f>SUM(OSRRefD21_2x_3)</f>
        <v>0</v>
      </c>
      <c r="H47" s="1">
        <f>SUM(OSRRefD21_2x_4)</f>
        <v>0</v>
      </c>
      <c r="I47" s="1">
        <f>SUM(OSRRefD21_2x_5)</f>
        <v>68.040000000000006</v>
      </c>
      <c r="J47" s="1">
        <f>SUM(OSRRefE21_2x_0)</f>
        <v>369</v>
      </c>
      <c r="K47" s="1">
        <f>SUM(OSRRefE21_2x_1)</f>
        <v>369</v>
      </c>
      <c r="L47" s="1">
        <f>SUM(OSRRefE21_2x_2)</f>
        <v>369</v>
      </c>
      <c r="M47" s="1">
        <f>SUM(OSRRefE21_2x_3)</f>
        <v>369</v>
      </c>
      <c r="N47" s="1">
        <f>SUM(OSRRefE21_2x_4)</f>
        <v>369</v>
      </c>
      <c r="O47" s="1">
        <f>SUM(OSRRefE21_2x_5)</f>
        <v>369</v>
      </c>
      <c r="Q47" s="2">
        <f>SUM(OSRRefD20_2x)+IFERROR(SUM(OSRRefE20_2x),0)</f>
        <v>3237.3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624.13</v>
      </c>
      <c r="F48" s="2">
        <v>290.82</v>
      </c>
      <c r="G48" s="2"/>
      <c r="H48" s="2"/>
      <c r="I48" s="2">
        <v>68.040000000000006</v>
      </c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3237.3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SUM(OSRRefE21_3x_0)</f>
        <v>8</v>
      </c>
      <c r="K49" s="1">
        <f>SUM(OSRRefE21_3x_1)</f>
        <v>8</v>
      </c>
      <c r="L49" s="1">
        <f>SUM(OSRRefE21_3x_2)</f>
        <v>8</v>
      </c>
      <c r="M49" s="1">
        <f>SUM(OSRRefE21_3x_3)</f>
        <v>8</v>
      </c>
      <c r="N49" s="1">
        <f>SUM(OSRRefE21_3x_4)</f>
        <v>8</v>
      </c>
      <c r="O49" s="1">
        <f>SUM(OSRRefE21_3x_5)</f>
        <v>0</v>
      </c>
      <c r="Q49" s="2">
        <f>SUM(OSRRefD20_3x)+IFERROR(SUM(OSRRefE20_3x),0)</f>
        <v>40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/>
      <c r="I50" s="2"/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40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40.56</v>
      </c>
      <c r="F51" s="1">
        <f>SUM(OSRRefD21_4x_2)</f>
        <v>54.15</v>
      </c>
      <c r="G51" s="1">
        <f>SUM(OSRRefD21_4x_3)</f>
        <v>51.38</v>
      </c>
      <c r="H51" s="1">
        <f>SUM(OSRRefD21_4x_4)</f>
        <v>41.17</v>
      </c>
      <c r="I51" s="1">
        <f>SUM(OSRRefD21_4x_5)</f>
        <v>68.28</v>
      </c>
      <c r="J51" s="1">
        <f>SUM(OSRRefE21_4x_0)</f>
        <v>135</v>
      </c>
      <c r="K51" s="1">
        <f>SUM(OSRRefE21_4x_1)</f>
        <v>135</v>
      </c>
      <c r="L51" s="1">
        <f>SUM(OSRRefE21_4x_2)</f>
        <v>135</v>
      </c>
      <c r="M51" s="1">
        <f>SUM(OSRRefE21_4x_3)</f>
        <v>135</v>
      </c>
      <c r="N51" s="1">
        <f>SUM(OSRRefE21_4x_4)</f>
        <v>135</v>
      </c>
      <c r="O51" s="1">
        <f>SUM(OSRRefE21_4x_5)</f>
        <v>135</v>
      </c>
      <c r="Q51" s="2">
        <f>SUM(OSRRefD20_4x)+IFERROR(SUM(OSRRefE20_4x),0)</f>
        <v>1142.5900000000001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40.56</v>
      </c>
      <c r="F52" s="2">
        <v>54.15</v>
      </c>
      <c r="G52" s="2">
        <v>51.38</v>
      </c>
      <c r="H52" s="2">
        <v>41.17</v>
      </c>
      <c r="I52" s="2">
        <v>68.28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1142.5900000000001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SUM(OSRRefD21_5x_4)</f>
        <v>273.51</v>
      </c>
      <c r="I53" s="1">
        <f>SUM(OSRRefD21_5x_5)</f>
        <v>273.51</v>
      </c>
      <c r="J53" s="1">
        <f>SUM(OSRRefE21_5x_0)</f>
        <v>273</v>
      </c>
      <c r="K53" s="1">
        <f>SUM(OSRRefE21_5x_1)</f>
        <v>273</v>
      </c>
      <c r="L53" s="1">
        <f>SUM(OSRRefE21_5x_2)</f>
        <v>273</v>
      </c>
      <c r="M53" s="1">
        <f>SUM(OSRRefE21_5x_3)</f>
        <v>273</v>
      </c>
      <c r="N53" s="1">
        <f>SUM(OSRRefE21_5x_4)</f>
        <v>273</v>
      </c>
      <c r="O53" s="1">
        <f>SUM(OSRRefE21_5x_5)</f>
        <v>273</v>
      </c>
      <c r="Q53" s="2">
        <f>SUM(OSRRefD20_5x)+IFERROR(SUM(OSRRefE20_5x),0)</f>
        <v>3279.06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273.51</v>
      </c>
      <c r="I54" s="2">
        <v>273.51</v>
      </c>
      <c r="J54" s="2">
        <v>273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3279.06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1458.85</v>
      </c>
      <c r="F55" s="1">
        <f>SUM(OSRRefD21_6x_2)</f>
        <v>2945.42</v>
      </c>
      <c r="G55" s="1">
        <f>SUM(OSRRefD21_6x_3)</f>
        <v>3477.05</v>
      </c>
      <c r="H55" s="1">
        <f>SUM(OSRRefD21_6x_4)</f>
        <v>2781.64</v>
      </c>
      <c r="I55" s="1">
        <f>SUM(OSRRefD21_6x_5)</f>
        <v>1457.04</v>
      </c>
      <c r="J55" s="1">
        <f>SUM(OSRRefE21_6x_0)</f>
        <v>6500</v>
      </c>
      <c r="K55" s="1">
        <f>SUM(OSRRefE21_6x_1)</f>
        <v>6500</v>
      </c>
      <c r="L55" s="1">
        <f>SUM(OSRRefE21_6x_2)</f>
        <v>6500</v>
      </c>
      <c r="M55" s="1">
        <f>SUM(OSRRefE21_6x_3)</f>
        <v>6500</v>
      </c>
      <c r="N55" s="1">
        <f>SUM(OSRRefE21_6x_4)</f>
        <v>6500</v>
      </c>
      <c r="O55" s="1">
        <f>SUM(OSRRefE21_6x_5)</f>
        <v>0</v>
      </c>
      <c r="Q55" s="2">
        <f>SUM(OSRRefD20_6x)+IFERROR(SUM(OSRRefE20_6x),0)</f>
        <v>44620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1458.85</v>
      </c>
      <c r="F56" s="2">
        <v>2945.42</v>
      </c>
      <c r="G56" s="2">
        <v>3477.05</v>
      </c>
      <c r="H56" s="2">
        <v>2781.64</v>
      </c>
      <c r="I56" s="2">
        <v>1457.04</v>
      </c>
      <c r="J56" s="2">
        <v>6500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44620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113.4</v>
      </c>
      <c r="J57" s="1">
        <f>SUM(OSRRefE21_7x_0)</f>
        <v>150</v>
      </c>
      <c r="K57" s="1">
        <f>SUM(OSRRefE21_7x_1)</f>
        <v>150</v>
      </c>
      <c r="L57" s="1">
        <f>SUM(OSRRefE21_7x_2)</f>
        <v>150</v>
      </c>
      <c r="M57" s="1">
        <f>SUM(OSRRefE21_7x_3)</f>
        <v>150</v>
      </c>
      <c r="N57" s="1">
        <f>SUM(OSRRefE21_7x_4)</f>
        <v>150</v>
      </c>
      <c r="O57" s="1">
        <f>SUM(OSRRefE21_7x_5)</f>
        <v>150</v>
      </c>
      <c r="Q57" s="2">
        <f>SUM(OSRRefD20_7x)+IFERROR(SUM(OSRRefE20_7x),0)</f>
        <v>1013.4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113.4</v>
      </c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1013.4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SUM(OSRRefD21_8x_1)</f>
        <v>265.36</v>
      </c>
      <c r="F59" s="1">
        <f>SUM(OSRRefD21_8x_2)</f>
        <v>135.26</v>
      </c>
      <c r="G59" s="1">
        <f>SUM(OSRRefD21_8x_3)</f>
        <v>461.73</v>
      </c>
      <c r="H59" s="1">
        <f>SUM(OSRRefD21_8x_4)</f>
        <v>135.26</v>
      </c>
      <c r="I59" s="1">
        <f>SUM(OSRRefD21_8x_5)</f>
        <v>543.94000000000005</v>
      </c>
      <c r="J59" s="1">
        <f>SUM(OSRRefE21_8x_0)</f>
        <v>295</v>
      </c>
      <c r="K59" s="1">
        <f>SUM(OSRRefE21_8x_1)</f>
        <v>295</v>
      </c>
      <c r="L59" s="1">
        <f>SUM(OSRRefE21_8x_2)</f>
        <v>295</v>
      </c>
      <c r="M59" s="1">
        <f>SUM(OSRRefE21_8x_3)</f>
        <v>295</v>
      </c>
      <c r="N59" s="1">
        <f>SUM(OSRRefE21_8x_4)</f>
        <v>295</v>
      </c>
      <c r="O59" s="1">
        <f>SUM(OSRRefE21_8x_5)</f>
        <v>295</v>
      </c>
      <c r="Q59" s="2">
        <f>SUM(OSRRefD20_8x)+IFERROR(SUM(OSRRefE20_8x),0)</f>
        <v>3738.65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265.36</v>
      </c>
      <c r="F60" s="2">
        <v>135.26</v>
      </c>
      <c r="G60" s="2">
        <v>461.73</v>
      </c>
      <c r="H60" s="2">
        <v>135.26</v>
      </c>
      <c r="I60" s="2">
        <v>543.94000000000005</v>
      </c>
      <c r="J60" s="2">
        <v>295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3738.65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SUM(OSRRefD21_9x_1)</f>
        <v>1469.55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0</v>
      </c>
      <c r="J61" s="1">
        <f>SUM(OSRRefE21_9x_0)</f>
        <v>180</v>
      </c>
      <c r="K61" s="1">
        <f>SUM(OSRRefE21_9x_1)</f>
        <v>180</v>
      </c>
      <c r="L61" s="1">
        <f>SUM(OSRRefE21_9x_2)</f>
        <v>190</v>
      </c>
      <c r="M61" s="1">
        <f>SUM(OSRRefE21_9x_3)</f>
        <v>190</v>
      </c>
      <c r="N61" s="1">
        <f>SUM(OSRRefE21_9x_4)</f>
        <v>190</v>
      </c>
      <c r="O61" s="1">
        <f>SUM(OSRRefE21_9x_5)</f>
        <v>190</v>
      </c>
      <c r="Q61" s="2">
        <f>SUM(OSRRefD20_9x)+IFERROR(SUM(OSRRefE20_9x),0)</f>
        <v>2677.93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1469.55</v>
      </c>
      <c r="F62" s="2"/>
      <c r="G62" s="2"/>
      <c r="H62" s="2"/>
      <c r="I62" s="2"/>
      <c r="J62" s="2">
        <v>180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2677.93</v>
      </c>
    </row>
    <row r="63" spans="1:17" s="35" customFormat="1" collapsed="1" x14ac:dyDescent="0.3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SUM(OSRRefD21_10x_1)</f>
        <v>18625.39</v>
      </c>
      <c r="F63" s="1">
        <f>SUM(OSRRefD21_10x_2)</f>
        <v>51101.53</v>
      </c>
      <c r="G63" s="1">
        <f>SUM(OSRRefD21_10x_3)</f>
        <v>63720.25</v>
      </c>
      <c r="H63" s="1">
        <f>SUM(OSRRefD21_10x_4)</f>
        <v>50966.61</v>
      </c>
      <c r="I63" s="1">
        <f>SUM(OSRRefD21_10x_5)</f>
        <v>38279.85</v>
      </c>
      <c r="J63" s="1">
        <f>SUM(OSRRefE21_10x_0)</f>
        <v>17424</v>
      </c>
      <c r="K63" s="1">
        <f>SUM(OSRRefE21_10x_1)</f>
        <v>44352</v>
      </c>
      <c r="L63" s="1">
        <f>SUM(OSRRefE21_10x_2)</f>
        <v>42768</v>
      </c>
      <c r="M63" s="1">
        <f>SUM(OSRRefE21_10x_3)</f>
        <v>42768</v>
      </c>
      <c r="N63" s="1">
        <f>SUM(OSRRefE21_10x_4)</f>
        <v>19440</v>
      </c>
      <c r="O63" s="1">
        <f>SUM(OSRRefE21_10x_5)</f>
        <v>0</v>
      </c>
      <c r="Q63" s="2">
        <f>SUM(OSRRefD20_10x)+IFERROR(SUM(OSRRefE20_10x),0)</f>
        <v>391013.63</v>
      </c>
    </row>
    <row r="64" spans="1:17" s="35" customFormat="1" hidden="1" outlineLevel="1" x14ac:dyDescent="0.3">
      <c r="A64" s="34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18625.39</v>
      </c>
      <c r="F64" s="2">
        <v>51101.53</v>
      </c>
      <c r="G64" s="2">
        <v>63720.25</v>
      </c>
      <c r="H64" s="2">
        <v>50966.61</v>
      </c>
      <c r="I64" s="2">
        <v>38279.85</v>
      </c>
      <c r="J64" s="2">
        <v>17424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391013.63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SUM(OSRRefD21_11x_1)</f>
        <v>42.3</v>
      </c>
      <c r="F65" s="1">
        <f>SUM(OSRRefD21_11x_2)</f>
        <v>83.83</v>
      </c>
      <c r="G65" s="1">
        <f>SUM(OSRRefD21_11x_3)</f>
        <v>1244.3800000000001</v>
      </c>
      <c r="H65" s="1">
        <f>SUM(OSRRefD21_11x_4)</f>
        <v>7.75</v>
      </c>
      <c r="I65" s="1">
        <f>SUM(OSRRefD21_11x_5)</f>
        <v>105.7</v>
      </c>
      <c r="J65" s="1">
        <f>SUM(OSRRefE21_11x_0)</f>
        <v>2200</v>
      </c>
      <c r="K65" s="1">
        <f>SUM(OSRRefE21_11x_1)</f>
        <v>200</v>
      </c>
      <c r="L65" s="1">
        <f>SUM(OSRRefE21_11x_2)</f>
        <v>200</v>
      </c>
      <c r="M65" s="1">
        <f>SUM(OSRRefE21_11x_3)</f>
        <v>2200</v>
      </c>
      <c r="N65" s="1">
        <f>SUM(OSRRefE21_11x_4)</f>
        <v>200</v>
      </c>
      <c r="O65" s="1">
        <f>SUM(OSRRefE21_11x_5)</f>
        <v>200</v>
      </c>
      <c r="Q65" s="2">
        <f>SUM(OSRRefD20_11x)+IFERROR(SUM(OSRRefE20_11x),0)</f>
        <v>7312.96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83.83</v>
      </c>
      <c r="G66" s="2">
        <v>57.15</v>
      </c>
      <c r="H66" s="2">
        <v>7.75</v>
      </c>
      <c r="I66" s="2">
        <v>105.7</v>
      </c>
      <c r="J66" s="2">
        <v>2000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4268.43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42.3</v>
      </c>
      <c r="F67" s="2"/>
      <c r="G67" s="2">
        <v>1187.23</v>
      </c>
      <c r="H67" s="2"/>
      <c r="I67" s="2"/>
      <c r="J67" s="2">
        <v>200</v>
      </c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3044.5299999999997</v>
      </c>
    </row>
    <row r="68" spans="1:17" s="35" customFormat="1" collapsed="1" x14ac:dyDescent="0.3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SUM(OSRRefD21_12x_1)</f>
        <v>6091.05</v>
      </c>
      <c r="F68" s="1">
        <f>SUM(OSRRefD21_12x_2)</f>
        <v>6297.38</v>
      </c>
      <c r="G68" s="1">
        <f>SUM(OSRRefD21_12x_3)</f>
        <v>7270.24</v>
      </c>
      <c r="H68" s="1">
        <f>SUM(OSRRefD21_12x_4)</f>
        <v>7572.07</v>
      </c>
      <c r="I68" s="1">
        <f>SUM(OSRRefD21_12x_5)</f>
        <v>6140.6100000000006</v>
      </c>
      <c r="J68" s="1">
        <f>SUM(OSRRefE21_12x_0)</f>
        <v>7422</v>
      </c>
      <c r="K68" s="1">
        <f>SUM(OSRRefE21_12x_1)</f>
        <v>7422</v>
      </c>
      <c r="L68" s="1">
        <f>SUM(OSRRefE21_12x_2)</f>
        <v>7422</v>
      </c>
      <c r="M68" s="1">
        <f>SUM(OSRRefE21_12x_3)</f>
        <v>7422</v>
      </c>
      <c r="N68" s="1">
        <f>SUM(OSRRefE21_12x_4)</f>
        <v>7422</v>
      </c>
      <c r="O68" s="1">
        <f>SUM(OSRRefE21_12x_5)</f>
        <v>7418</v>
      </c>
      <c r="Q68" s="2">
        <f>SUM(OSRRefD20_12x)+IFERROR(SUM(OSRRefE20_12x),0)</f>
        <v>83712.25</v>
      </c>
    </row>
    <row r="69" spans="1:17" s="35" customFormat="1" hidden="1" outlineLevel="1" x14ac:dyDescent="0.3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421.34</v>
      </c>
      <c r="F69" s="2">
        <v>459.25</v>
      </c>
      <c r="G69" s="2">
        <v>1438.62</v>
      </c>
      <c r="H69" s="2">
        <v>459.25</v>
      </c>
      <c r="I69" s="2">
        <v>459.25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6359.0499999999993</v>
      </c>
    </row>
    <row r="70" spans="1:17" s="35" customFormat="1" hidden="1" outlineLevel="1" x14ac:dyDescent="0.3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/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300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4468.33</v>
      </c>
      <c r="F71" s="2">
        <v>4668.33</v>
      </c>
      <c r="G71" s="2">
        <v>4468.33</v>
      </c>
      <c r="H71" s="2">
        <v>6019.04</v>
      </c>
      <c r="I71" s="2">
        <v>5051.18</v>
      </c>
      <c r="J71" s="2">
        <v>5255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60673.54</v>
      </c>
    </row>
    <row r="72" spans="1:17" s="35" customFormat="1" hidden="1" outlineLevel="1" x14ac:dyDescent="0.3">
      <c r="A72" s="34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1201.3800000000001</v>
      </c>
      <c r="F72" s="2">
        <v>1169.8</v>
      </c>
      <c r="G72" s="2">
        <v>1363.29</v>
      </c>
      <c r="H72" s="2">
        <v>1093.78</v>
      </c>
      <c r="I72" s="2">
        <v>630.17999999999995</v>
      </c>
      <c r="J72" s="2">
        <v>1667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16379.66</v>
      </c>
    </row>
    <row r="73" spans="1:17" s="35" customFormat="1" collapsed="1" x14ac:dyDescent="0.3">
      <c r="A73" s="34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5201.6799999999994</v>
      </c>
      <c r="E73" s="1">
        <f>SUM(OSRRefD21_13x_1)</f>
        <v>9110.73</v>
      </c>
      <c r="F73" s="1">
        <f>SUM(OSRRefD21_13x_2)</f>
        <v>20098.71</v>
      </c>
      <c r="G73" s="1">
        <f>SUM(OSRRefD21_13x_3)</f>
        <v>38827.379999999997</v>
      </c>
      <c r="H73" s="1">
        <f>SUM(OSRRefD21_13x_4)</f>
        <v>11350.45</v>
      </c>
      <c r="I73" s="1">
        <f>SUM(OSRRefD21_13x_5)</f>
        <v>18161.400000000001</v>
      </c>
      <c r="J73" s="1">
        <f>SUM(OSRRefE21_13x_0)</f>
        <v>13066</v>
      </c>
      <c r="K73" s="1">
        <f>SUM(OSRRefE21_13x_1)</f>
        <v>13066</v>
      </c>
      <c r="L73" s="1">
        <f>SUM(OSRRefE21_13x_2)</f>
        <v>13066</v>
      </c>
      <c r="M73" s="1">
        <f>SUM(OSRRefE21_13x_3)</f>
        <v>13066</v>
      </c>
      <c r="N73" s="1">
        <f>SUM(OSRRefE21_13x_4)</f>
        <v>13066</v>
      </c>
      <c r="O73" s="1">
        <f>SUM(OSRRefE21_13x_5)</f>
        <v>13064</v>
      </c>
      <c r="Q73" s="2">
        <f>SUM(OSRRefD20_13x)+IFERROR(SUM(OSRRefE20_13x),0)</f>
        <v>181144.35</v>
      </c>
    </row>
    <row r="74" spans="1:17" s="35" customFormat="1" hidden="1" outlineLevel="1" x14ac:dyDescent="0.3">
      <c r="A74" s="34"/>
      <c r="B74" s="10" t="str">
        <f>CONCATENATE("          ","6234", " - ","EXPENDABLE SUPPLIES &amp; EQUIPMEN")</f>
        <v xml:space="preserve">          6234 - EXPENDABLE SUPPLIES &amp; EQUIPMEN</v>
      </c>
      <c r="C74" s="14"/>
      <c r="D74" s="2"/>
      <c r="E74" s="2"/>
      <c r="F74" s="2"/>
      <c r="G74" s="2"/>
      <c r="H74" s="2"/>
      <c r="I74" s="2">
        <v>315</v>
      </c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315</v>
      </c>
    </row>
    <row r="75" spans="1:17" s="35" customFormat="1" hidden="1" outlineLevel="1" x14ac:dyDescent="0.3">
      <c r="A75" s="34"/>
      <c r="B75" s="10" t="str">
        <f>CONCATENATE("          ","6237", " - ","JANITORIAL SUPPLIES")</f>
        <v xml:space="preserve">          6237 - JANITORIAL SUPPLIES</v>
      </c>
      <c r="C75" s="14"/>
      <c r="D75" s="2">
        <v>3701.95</v>
      </c>
      <c r="E75" s="2"/>
      <c r="F75" s="2">
        <v>3997.04</v>
      </c>
      <c r="G75" s="2">
        <v>3394.94</v>
      </c>
      <c r="H75" s="2">
        <v>2339.33</v>
      </c>
      <c r="I75" s="2">
        <v>2015.85</v>
      </c>
      <c r="J75" s="2">
        <v>3750</v>
      </c>
      <c r="K75" s="2">
        <v>3750</v>
      </c>
      <c r="L75" s="2">
        <v>3750</v>
      </c>
      <c r="M75" s="2">
        <v>3750</v>
      </c>
      <c r="N75" s="2">
        <v>3750</v>
      </c>
      <c r="O75" s="2">
        <v>3750</v>
      </c>
      <c r="P75" s="9"/>
      <c r="Q75" s="2">
        <f>SUM(OSRRefD21_13_1x)+IFERROR(SUM(OSRRefE21_13_1x),0)</f>
        <v>37949.11</v>
      </c>
    </row>
    <row r="76" spans="1:17" s="35" customFormat="1" hidden="1" outlineLevel="1" x14ac:dyDescent="0.3">
      <c r="A76" s="34"/>
      <c r="B76" s="10" t="str">
        <f>CONCATENATE("          ","6239", " - ","KITCHEN SUPPLIES")</f>
        <v xml:space="preserve">          6239 - KITCHEN SUPPLIES</v>
      </c>
      <c r="C76" s="14"/>
      <c r="D76" s="2"/>
      <c r="E76" s="2">
        <v>1016.81</v>
      </c>
      <c r="F76" s="2">
        <v>3028.13</v>
      </c>
      <c r="G76" s="2">
        <v>4817.3500000000004</v>
      </c>
      <c r="H76" s="2">
        <v>500.13</v>
      </c>
      <c r="I76" s="2">
        <v>143.83000000000001</v>
      </c>
      <c r="J76" s="2">
        <v>1800</v>
      </c>
      <c r="K76" s="2">
        <v>1800</v>
      </c>
      <c r="L76" s="2">
        <v>1800</v>
      </c>
      <c r="M76" s="2">
        <v>1800</v>
      </c>
      <c r="N76" s="2">
        <v>1800</v>
      </c>
      <c r="O76" s="2">
        <v>1800</v>
      </c>
      <c r="P76" s="9"/>
      <c r="Q76" s="2">
        <f>SUM(OSRRefD21_13_2x)+IFERROR(SUM(OSRRefE21_13_2x),0)</f>
        <v>20306.25</v>
      </c>
    </row>
    <row r="77" spans="1:17" s="35" customFormat="1" hidden="1" outlineLevel="1" x14ac:dyDescent="0.3">
      <c r="A77" s="34"/>
      <c r="B77" s="10" t="str">
        <f>CONCATENATE("          ","6241", " - ","OFFICE EXPENSE")</f>
        <v xml:space="preserve">          6241 - OFFICE EXPENSE</v>
      </c>
      <c r="C77" s="14"/>
      <c r="D77" s="2">
        <v>436.66</v>
      </c>
      <c r="E77" s="2">
        <v>932.42</v>
      </c>
      <c r="F77" s="2">
        <v>329.73</v>
      </c>
      <c r="G77" s="2">
        <v>1034.22</v>
      </c>
      <c r="H77" s="2">
        <v>434.45</v>
      </c>
      <c r="I77" s="2">
        <v>404.74</v>
      </c>
      <c r="J77" s="2">
        <v>820</v>
      </c>
      <c r="K77" s="2">
        <v>820</v>
      </c>
      <c r="L77" s="2">
        <v>820</v>
      </c>
      <c r="M77" s="2">
        <v>820</v>
      </c>
      <c r="N77" s="2">
        <v>820</v>
      </c>
      <c r="O77" s="2">
        <v>820</v>
      </c>
      <c r="P77" s="9"/>
      <c r="Q77" s="2">
        <f>SUM(OSRRefD21_13_3x)+IFERROR(SUM(OSRRefE21_13_3x),0)</f>
        <v>8492.2199999999993</v>
      </c>
    </row>
    <row r="78" spans="1:17" s="35" customFormat="1" hidden="1" outlineLevel="1" x14ac:dyDescent="0.3">
      <c r="A78" s="34"/>
      <c r="B78" s="10" t="str">
        <f>CONCATENATE("          ","6243", " - ","PAPER SUPPLIES")</f>
        <v xml:space="preserve">          6243 - PAPER SUPPLIES</v>
      </c>
      <c r="C78" s="14"/>
      <c r="D78" s="2">
        <v>1063.07</v>
      </c>
      <c r="E78" s="2">
        <v>7161.5</v>
      </c>
      <c r="F78" s="2">
        <v>12616.47</v>
      </c>
      <c r="G78" s="2">
        <v>27629.87</v>
      </c>
      <c r="H78" s="2">
        <v>7900.31</v>
      </c>
      <c r="I78" s="2">
        <v>15281.98</v>
      </c>
      <c r="J78" s="2">
        <v>6300</v>
      </c>
      <c r="K78" s="2">
        <v>6300</v>
      </c>
      <c r="L78" s="2">
        <v>6300</v>
      </c>
      <c r="M78" s="2">
        <v>6300</v>
      </c>
      <c r="N78" s="2">
        <v>6300</v>
      </c>
      <c r="O78" s="2">
        <v>6300</v>
      </c>
      <c r="P78" s="9"/>
      <c r="Q78" s="2">
        <f>SUM(OSRRefD21_13_4x)+IFERROR(SUM(OSRRefE21_13_4x),0)</f>
        <v>109453.2</v>
      </c>
    </row>
    <row r="79" spans="1:17" s="35" customFormat="1" hidden="1" outlineLevel="1" x14ac:dyDescent="0.3">
      <c r="A79" s="34"/>
      <c r="B79" s="10" t="str">
        <f>CONCATENATE("          ","6244", " - ","SAFETY SUPPLY EXPENSE")</f>
        <v xml:space="preserve">          6244 - SAFETY SUPPLY EXPENSE</v>
      </c>
      <c r="C79" s="14"/>
      <c r="D79" s="2"/>
      <c r="E79" s="2"/>
      <c r="F79" s="2"/>
      <c r="G79" s="2"/>
      <c r="H79" s="2"/>
      <c r="I79" s="2"/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SUM(OSRRefD21_13_5x)+IFERROR(SUM(OSRRefE21_13_5x),0)</f>
        <v>1200</v>
      </c>
    </row>
    <row r="80" spans="1:17" s="35" customFormat="1" hidden="1" outlineLevel="1" x14ac:dyDescent="0.3">
      <c r="A80" s="34"/>
      <c r="B80" s="10" t="str">
        <f>CONCATENATE("          ","6247", " - ","STORE SUPPLIES")</f>
        <v xml:space="preserve">          6247 - STORE SUPPLIES</v>
      </c>
      <c r="C80" s="14"/>
      <c r="D80" s="2"/>
      <c r="E80" s="2"/>
      <c r="F80" s="2">
        <v>127.34</v>
      </c>
      <c r="G80" s="2">
        <v>80.59</v>
      </c>
      <c r="H80" s="2">
        <v>176.23</v>
      </c>
      <c r="I80" s="2"/>
      <c r="J80" s="2"/>
      <c r="K80" s="2"/>
      <c r="L80" s="2"/>
      <c r="M80" s="2"/>
      <c r="N80" s="2"/>
      <c r="O80" s="2"/>
      <c r="P80" s="9"/>
      <c r="Q80" s="2">
        <f>SUM(OSRRefD21_13_6x)+IFERROR(SUM(OSRRefE21_13_6x),0)</f>
        <v>384.15999999999997</v>
      </c>
    </row>
    <row r="81" spans="1:17" s="35" customFormat="1" hidden="1" outlineLevel="1" x14ac:dyDescent="0.3">
      <c r="A81" s="34"/>
      <c r="B81" s="10" t="str">
        <f>CONCATENATE("          ","6248", " - ","UNIFORMS")</f>
        <v xml:space="preserve">          6248 - UNIFORMS</v>
      </c>
      <c r="C81" s="14"/>
      <c r="D81" s="2"/>
      <c r="E81" s="2"/>
      <c r="F81" s="2"/>
      <c r="G81" s="2">
        <v>1870.41</v>
      </c>
      <c r="H81" s="2"/>
      <c r="I81" s="2"/>
      <c r="J81" s="2">
        <v>196</v>
      </c>
      <c r="K81" s="2">
        <v>196</v>
      </c>
      <c r="L81" s="2">
        <v>196</v>
      </c>
      <c r="M81" s="2">
        <v>196</v>
      </c>
      <c r="N81" s="2">
        <v>196</v>
      </c>
      <c r="O81" s="2">
        <v>194</v>
      </c>
      <c r="P81" s="9"/>
      <c r="Q81" s="2">
        <f>SUM(OSRRefD21_13_7x)+IFERROR(SUM(OSRRefE21_13_7x),0)</f>
        <v>3044.41</v>
      </c>
    </row>
    <row r="82" spans="1:17" s="35" customFormat="1" collapsed="1" x14ac:dyDescent="0.3">
      <c r="A82" s="34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SUM(OSRRefD21_14x_0)</f>
        <v>217</v>
      </c>
      <c r="E82" s="1">
        <f>SUM(OSRRefD21_14x_1)</f>
        <v>309</v>
      </c>
      <c r="F82" s="1">
        <f>SUM(OSRRefD21_14x_2)</f>
        <v>309</v>
      </c>
      <c r="G82" s="1">
        <f>SUM(OSRRefD21_14x_3)</f>
        <v>459</v>
      </c>
      <c r="H82" s="1">
        <f>SUM(OSRRefD21_14x_4)</f>
        <v>309</v>
      </c>
      <c r="I82" s="1">
        <f>SUM(OSRRefD21_14x_5)</f>
        <v>159</v>
      </c>
      <c r="J82" s="1">
        <f>SUM(OSRRefE21_14x_0)</f>
        <v>218</v>
      </c>
      <c r="K82" s="1">
        <f>SUM(OSRRefE21_14x_1)</f>
        <v>218</v>
      </c>
      <c r="L82" s="1">
        <f>SUM(OSRRefE21_14x_2)</f>
        <v>218</v>
      </c>
      <c r="M82" s="1">
        <f>SUM(OSRRefE21_14x_3)</f>
        <v>218</v>
      </c>
      <c r="N82" s="1">
        <f>SUM(OSRRefE21_14x_4)</f>
        <v>218</v>
      </c>
      <c r="O82" s="1">
        <f>SUM(OSRRefE21_14x_5)</f>
        <v>218</v>
      </c>
      <c r="Q82" s="2">
        <f>SUM(OSRRefD20_14x)+IFERROR(SUM(OSRRefE20_14x),0)</f>
        <v>3070</v>
      </c>
    </row>
    <row r="83" spans="1:17" s="35" customFormat="1" hidden="1" outlineLevel="1" x14ac:dyDescent="0.3">
      <c r="A83" s="34"/>
      <c r="B83" s="10" t="str">
        <f>CONCATENATE("          ","6309", " - ","TELEPHONE")</f>
        <v xml:space="preserve">          6309 - TELEPHONE</v>
      </c>
      <c r="C83" s="14"/>
      <c r="D83" s="2">
        <v>217</v>
      </c>
      <c r="E83" s="2">
        <v>309</v>
      </c>
      <c r="F83" s="2">
        <v>309</v>
      </c>
      <c r="G83" s="2">
        <v>459</v>
      </c>
      <c r="H83" s="2">
        <v>309</v>
      </c>
      <c r="I83" s="2">
        <v>159</v>
      </c>
      <c r="J83" s="2">
        <v>218</v>
      </c>
      <c r="K83" s="2">
        <v>218</v>
      </c>
      <c r="L83" s="2">
        <v>218</v>
      </c>
      <c r="M83" s="2">
        <v>218</v>
      </c>
      <c r="N83" s="2">
        <v>218</v>
      </c>
      <c r="O83" s="2">
        <v>218</v>
      </c>
      <c r="P83" s="9"/>
      <c r="Q83" s="2">
        <f>SUM(OSRRefD21_14_0x)+IFERROR(SUM(OSRRefE21_14_0x),0)</f>
        <v>3070</v>
      </c>
    </row>
    <row r="84" spans="1:17" s="35" customFormat="1" collapsed="1" x14ac:dyDescent="0.3">
      <c r="A84" s="34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SUM(OSRRefD21_15x_0)</f>
        <v>0</v>
      </c>
      <c r="E84" s="1">
        <f>SUM(OSRRefD21_15x_1)</f>
        <v>0</v>
      </c>
      <c r="F84" s="1">
        <f>SUM(OSRRefD21_15x_2)</f>
        <v>0</v>
      </c>
      <c r="G84" s="1">
        <f>SUM(OSRRefD21_15x_3)</f>
        <v>0</v>
      </c>
      <c r="H84" s="1">
        <f>SUM(OSRRefD21_15x_4)</f>
        <v>245</v>
      </c>
      <c r="I84" s="1">
        <f>SUM(OSRRefD21_15x_5)</f>
        <v>0</v>
      </c>
      <c r="J84" s="1">
        <f>SUM(OSRRefE21_15x_0)</f>
        <v>175</v>
      </c>
      <c r="K84" s="1">
        <f>SUM(OSRRefE21_15x_1)</f>
        <v>175</v>
      </c>
      <c r="L84" s="1">
        <f>SUM(OSRRefE21_15x_2)</f>
        <v>150</v>
      </c>
      <c r="M84" s="1">
        <f>SUM(OSRRefE21_15x_3)</f>
        <v>150</v>
      </c>
      <c r="N84" s="1">
        <f>SUM(OSRRefE21_15x_4)</f>
        <v>150</v>
      </c>
      <c r="O84" s="1">
        <f>SUM(OSRRefE21_15x_5)</f>
        <v>150</v>
      </c>
      <c r="Q84" s="2">
        <f>SUM(OSRRefD20_15x)+IFERROR(SUM(OSRRefE20_15x),0)</f>
        <v>1195</v>
      </c>
    </row>
    <row r="85" spans="1:17" s="35" customFormat="1" hidden="1" outlineLevel="1" x14ac:dyDescent="0.3">
      <c r="A85" s="34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>
        <v>245</v>
      </c>
      <c r="I85" s="2"/>
      <c r="J85" s="2">
        <v>175</v>
      </c>
      <c r="K85" s="2">
        <v>175</v>
      </c>
      <c r="L85" s="2">
        <v>150</v>
      </c>
      <c r="M85" s="2">
        <v>150</v>
      </c>
      <c r="N85" s="2">
        <v>150</v>
      </c>
      <c r="O85" s="2">
        <v>150</v>
      </c>
      <c r="P85" s="9"/>
      <c r="Q85" s="2">
        <f>SUM(OSRRefD21_15_0x)+IFERROR(SUM(OSRRefE21_15_0x),0)</f>
        <v>1195</v>
      </c>
    </row>
    <row r="86" spans="1:17" s="29" customFormat="1" x14ac:dyDescent="0.3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">
      <c r="A87" s="23"/>
      <c r="B87" s="16" t="s">
        <v>293</v>
      </c>
      <c r="C87" s="22"/>
      <c r="D87" s="3">
        <f t="shared" ref="D87:I87" si="3">0</f>
        <v>0</v>
      </c>
      <c r="E87" s="3">
        <f t="shared" si="3"/>
        <v>0</v>
      </c>
      <c r="F87" s="3">
        <f t="shared" si="3"/>
        <v>0</v>
      </c>
      <c r="G87" s="3">
        <f t="shared" si="3"/>
        <v>0</v>
      </c>
      <c r="H87" s="3">
        <f t="shared" si="3"/>
        <v>0</v>
      </c>
      <c r="I87" s="3">
        <f t="shared" si="3"/>
        <v>0</v>
      </c>
      <c r="J87" s="3"/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6"/>
      <c r="B89" s="17" t="s">
        <v>276</v>
      </c>
      <c r="C89" s="17"/>
      <c r="D89" s="7">
        <f t="shared" ref="D89:O89" si="4">IFERROR(+D21-D24+D87, 0)</f>
        <v>-85832.24</v>
      </c>
      <c r="E89" s="7">
        <f t="shared" si="4"/>
        <v>9728.1300000000047</v>
      </c>
      <c r="F89" s="7">
        <f t="shared" si="4"/>
        <v>321490.08000000007</v>
      </c>
      <c r="G89" s="7">
        <f t="shared" si="4"/>
        <v>269260.55</v>
      </c>
      <c r="H89" s="7">
        <f t="shared" si="4"/>
        <v>320057.70999999996</v>
      </c>
      <c r="I89" s="7">
        <f t="shared" si="4"/>
        <v>178987.19000000003</v>
      </c>
      <c r="J89" s="7">
        <f t="shared" si="4"/>
        <v>-33880.890614024946</v>
      </c>
      <c r="K89" s="7">
        <f t="shared" si="4"/>
        <v>170114.62830878005</v>
      </c>
      <c r="L89" s="7">
        <f t="shared" si="4"/>
        <v>146369.62830878005</v>
      </c>
      <c r="M89" s="7">
        <f t="shared" si="4"/>
        <v>126917.53338597505</v>
      </c>
      <c r="N89" s="7">
        <f t="shared" si="4"/>
        <v>38032.124308780069</v>
      </c>
      <c r="O89" s="7">
        <f t="shared" si="4"/>
        <v>-103302.49969121994</v>
      </c>
      <c r="Q89" s="7">
        <f>IFERROR(+Q21-Q24+Q87, 0)</f>
        <v>1357941.9440070703</v>
      </c>
    </row>
    <row r="90" spans="1:17" s="6" customFormat="1" x14ac:dyDescent="0.3">
      <c r="B90" s="16"/>
      <c r="C90" s="16"/>
      <c r="D90" s="4">
        <f t="shared" ref="D90:O90" si="5">IFERROR(D89/D10, 0)</f>
        <v>-3.733890161327861</v>
      </c>
      <c r="E90" s="4">
        <f t="shared" si="5"/>
        <v>4.2133395631715753E-2</v>
      </c>
      <c r="F90" s="4">
        <f t="shared" si="5"/>
        <v>0.46841756989297206</v>
      </c>
      <c r="G90" s="4">
        <f t="shared" si="5"/>
        <v>0.33658401374704006</v>
      </c>
      <c r="H90" s="4">
        <f t="shared" si="5"/>
        <v>0.5001961822033657</v>
      </c>
      <c r="I90" s="4">
        <f t="shared" si="5"/>
        <v>0.37243652218272083</v>
      </c>
      <c r="J90" s="4">
        <f t="shared" si="5"/>
        <v>-0.15555964469249287</v>
      </c>
      <c r="K90" s="4">
        <f t="shared" si="5"/>
        <v>0.30684456765652968</v>
      </c>
      <c r="L90" s="4">
        <f t="shared" si="5"/>
        <v>0.27379279519038546</v>
      </c>
      <c r="M90" s="4">
        <f t="shared" si="5"/>
        <v>0.23740653457907793</v>
      </c>
      <c r="N90" s="4">
        <f t="shared" si="5"/>
        <v>0.12805429060195309</v>
      </c>
      <c r="O90" s="4">
        <f t="shared" si="5"/>
        <v>0</v>
      </c>
      <c r="P90" s="18"/>
      <c r="Q90" s="4">
        <f>IFERROR(Q89/Q10, 0)</f>
        <v>0.271640685066103</v>
      </c>
    </row>
    <row r="91" spans="1:17" x14ac:dyDescent="0.3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25"/>
      <c r="B92" s="6" t="s">
        <v>125</v>
      </c>
      <c r="C92" s="6"/>
      <c r="D92" s="3">
        <v>10620.07</v>
      </c>
      <c r="E92" s="3">
        <v>27317.4</v>
      </c>
      <c r="F92" s="3">
        <v>78437.41</v>
      </c>
      <c r="G92" s="3">
        <v>84776.55</v>
      </c>
      <c r="H92" s="3">
        <v>82340.83</v>
      </c>
      <c r="I92" s="3">
        <v>60844.93</v>
      </c>
      <c r="J92" s="3">
        <v>18032</v>
      </c>
      <c r="K92" s="3">
        <v>60349</v>
      </c>
      <c r="L92" s="3">
        <v>63711</v>
      </c>
      <c r="M92" s="3">
        <v>70109</v>
      </c>
      <c r="N92" s="3">
        <v>40664</v>
      </c>
      <c r="O92" s="3">
        <v>-46035</v>
      </c>
      <c r="Q92" s="2">
        <f>SUM(OSRRefD28_0x)+IFERROR(SUM(OSRRefE28_0x),0)</f>
        <v>551167.18999999994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124</v>
      </c>
      <c r="C94" s="17"/>
      <c r="D94" s="8">
        <f t="shared" ref="D94:O94" si="6">IFERROR(+D89-D92, 0)</f>
        <v>-96452.31</v>
      </c>
      <c r="E94" s="8">
        <f t="shared" si="6"/>
        <v>-17589.269999999997</v>
      </c>
      <c r="F94" s="8">
        <f t="shared" si="6"/>
        <v>243052.67000000007</v>
      </c>
      <c r="G94" s="8">
        <f t="shared" si="6"/>
        <v>184484</v>
      </c>
      <c r="H94" s="8">
        <f t="shared" si="6"/>
        <v>237716.87999999995</v>
      </c>
      <c r="I94" s="8">
        <f t="shared" si="6"/>
        <v>118142.26000000004</v>
      </c>
      <c r="J94" s="8">
        <f t="shared" si="6"/>
        <v>-51912.890614024946</v>
      </c>
      <c r="K94" s="8">
        <f t="shared" si="6"/>
        <v>109765.62830878005</v>
      </c>
      <c r="L94" s="8">
        <f t="shared" si="6"/>
        <v>82658.628308780055</v>
      </c>
      <c r="M94" s="8">
        <f t="shared" si="6"/>
        <v>56808.533385975054</v>
      </c>
      <c r="N94" s="8">
        <f t="shared" si="6"/>
        <v>-2631.8756912199315</v>
      </c>
      <c r="O94" s="8">
        <f t="shared" si="6"/>
        <v>-57267.499691219942</v>
      </c>
      <c r="Q94" s="8">
        <f>IFERROR(+Q89-Q92, 0)</f>
        <v>806774.75400707033</v>
      </c>
    </row>
    <row r="95" spans="1:17" ht="15" thickTop="1" x14ac:dyDescent="0.3">
      <c r="A95" s="5"/>
      <c r="B95" s="5"/>
      <c r="C95" s="5"/>
      <c r="D95" s="4">
        <f t="shared" ref="D95:O95" si="7">IFERROR(D94/D10, 0)</f>
        <v>-4.1958864331904291</v>
      </c>
      <c r="E95" s="4">
        <f t="shared" si="7"/>
        <v>-7.6180691641977272E-2</v>
      </c>
      <c r="F95" s="4">
        <f t="shared" si="7"/>
        <v>0.35413267195491221</v>
      </c>
      <c r="G95" s="4">
        <f t="shared" si="7"/>
        <v>0.23061070473230832</v>
      </c>
      <c r="H95" s="4">
        <f t="shared" si="7"/>
        <v>0.3715113621893239</v>
      </c>
      <c r="I95" s="4">
        <f t="shared" si="7"/>
        <v>0.24583039957891276</v>
      </c>
      <c r="J95" s="4">
        <f t="shared" si="7"/>
        <v>-0.23835119657495385</v>
      </c>
      <c r="K95" s="4">
        <f t="shared" si="7"/>
        <v>0.19798995005191208</v>
      </c>
      <c r="L95" s="4">
        <f t="shared" si="7"/>
        <v>0.15461771101530125</v>
      </c>
      <c r="M95" s="4">
        <f t="shared" si="7"/>
        <v>0.10626362399172289</v>
      </c>
      <c r="N95" s="4">
        <f t="shared" si="7"/>
        <v>-8.8615343138718234E-3</v>
      </c>
      <c r="O95" s="4">
        <f t="shared" si="7"/>
        <v>0</v>
      </c>
      <c r="P95" s="18"/>
      <c r="Q95" s="4">
        <f>IFERROR(Q94/Q10, 0)</f>
        <v>0.16138602083814585</v>
      </c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294</v>
      </c>
      <c r="C98" s="17"/>
      <c r="D98" s="8">
        <f t="shared" ref="D98:O98" si="8">IFERROR(SUM(D94:D97), 0)</f>
        <v>-96456.505886433195</v>
      </c>
      <c r="E98" s="8">
        <f t="shared" si="8"/>
        <v>-17589.346180691638</v>
      </c>
      <c r="F98" s="8">
        <f t="shared" si="8"/>
        <v>243053.02413267203</v>
      </c>
      <c r="G98" s="8">
        <f t="shared" si="8"/>
        <v>184484.23061070472</v>
      </c>
      <c r="H98" s="8">
        <f t="shared" si="8"/>
        <v>237717.25151136215</v>
      </c>
      <c r="I98" s="8">
        <f t="shared" si="8"/>
        <v>118142.50583039962</v>
      </c>
      <c r="J98" s="8">
        <f t="shared" si="8"/>
        <v>-51913.12896522152</v>
      </c>
      <c r="K98" s="8">
        <f t="shared" si="8"/>
        <v>109765.82629873011</v>
      </c>
      <c r="L98" s="8">
        <f t="shared" si="8"/>
        <v>82658.782926491069</v>
      </c>
      <c r="M98" s="8">
        <f t="shared" si="8"/>
        <v>56808.639649599048</v>
      </c>
      <c r="N98" s="8">
        <f t="shared" si="8"/>
        <v>-2631.8845527542453</v>
      </c>
      <c r="O98" s="8">
        <f t="shared" si="8"/>
        <v>-57267.499691219942</v>
      </c>
      <c r="Q98" s="8">
        <f>IFERROR(SUM(Q94:Q97), 0)</f>
        <v>806774.91539309116</v>
      </c>
    </row>
    <row r="99" spans="1:17" ht="15" thickTop="1" x14ac:dyDescent="0.3">
      <c r="A99" s="5"/>
      <c r="C99" s="5"/>
      <c r="D99" s="4">
        <f t="shared" ref="D99:O99" si="9">IFERROR(D98/D10, 0)</f>
        <v>-4.1960689634269803</v>
      </c>
      <c r="E99" s="4">
        <f t="shared" si="9"/>
        <v>-7.6181021587323441E-2</v>
      </c>
      <c r="F99" s="4">
        <f t="shared" si="9"/>
        <v>0.35413318793340093</v>
      </c>
      <c r="G99" s="4">
        <f t="shared" si="9"/>
        <v>0.23061099300282031</v>
      </c>
      <c r="H99" s="4">
        <f t="shared" si="9"/>
        <v>0.37151194279888028</v>
      </c>
      <c r="I99" s="4">
        <f t="shared" si="9"/>
        <v>0.24583091110277694</v>
      </c>
      <c r="J99" s="4">
        <f t="shared" si="9"/>
        <v>-0.23835229093306484</v>
      </c>
      <c r="K99" s="4">
        <f t="shared" si="9"/>
        <v>0.19799030717664162</v>
      </c>
      <c r="L99" s="4">
        <f t="shared" si="9"/>
        <v>0.15461800023660882</v>
      </c>
      <c r="M99" s="4">
        <f t="shared" si="9"/>
        <v>0.10626382276393387</v>
      </c>
      <c r="N99" s="4">
        <f t="shared" si="9"/>
        <v>-8.8615641506876938E-3</v>
      </c>
      <c r="O99" s="4">
        <f t="shared" si="9"/>
        <v>0</v>
      </c>
      <c r="P99" s="18"/>
      <c r="Q99" s="4">
        <f>IFERROR(Q98/Q10, 0)</f>
        <v>0.1613860531215652</v>
      </c>
    </row>
    <row r="100" spans="1:17" x14ac:dyDescent="0.3">
      <c r="A100" s="5"/>
      <c r="B100" s="28">
        <v>44575.850692245367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3">
      <c r="A101" s="5"/>
      <c r="B101" s="26" t="s">
        <v>54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3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","450", " - ", "Beachside Dining Hall")</f>
        <v>Department 450 - Beachside Dining Hall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41892.78</v>
      </c>
      <c r="F10" s="3">
        <f>SUM(OSRRefD11x_2)</f>
        <v>162218.18999999997</v>
      </c>
      <c r="G10" s="3">
        <f>SUM(OSRRefD11x_3)</f>
        <v>289059.61</v>
      </c>
      <c r="H10" s="3">
        <f>SUM(OSRRefD11x_4)</f>
        <v>231129.65</v>
      </c>
      <c r="I10" s="3">
        <f>SUM(OSRRefD11x_5)</f>
        <v>173612.78</v>
      </c>
      <c r="J10" s="3">
        <f>SUM(OSRRefE11x_0)</f>
        <v>47520</v>
      </c>
      <c r="K10" s="3">
        <f>SUM(OSRRefE11x_1)</f>
        <v>120960</v>
      </c>
      <c r="L10" s="3">
        <f>SUM(OSRRefE11x_2)</f>
        <v>116640</v>
      </c>
      <c r="M10" s="3">
        <f>SUM(OSRRefE11x_3)</f>
        <v>116640</v>
      </c>
      <c r="N10" s="3">
        <f>SUM(OSRRefE11x_4)</f>
        <v>64800</v>
      </c>
      <c r="O10" s="3">
        <f>SUM(OSRRefE11x_5)</f>
        <v>0</v>
      </c>
      <c r="P10" s="24"/>
      <c r="Q10" s="3">
        <f>SUM(OSRRefG11x)</f>
        <v>1364473.01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 t="shared" ref="E11:E12" si="1">0</f>
        <v>0</v>
      </c>
      <c r="F11" s="2">
        <f>--62.83</f>
        <v>62.83</v>
      </c>
      <c r="G11" s="2">
        <f>--11.12</f>
        <v>11.12</v>
      </c>
      <c r="H11" s="2">
        <f>--35.12</f>
        <v>35.119999999999997</v>
      </c>
      <c r="I11" s="2">
        <f>--54.05</f>
        <v>54.05</v>
      </c>
      <c r="J11" s="2"/>
      <c r="K11" s="2"/>
      <c r="L11" s="2"/>
      <c r="M11" s="2"/>
      <c r="N11" s="2"/>
      <c r="O11" s="2"/>
      <c r="Q11" s="2">
        <f>SUM(OSRRefD11_0x)+IFERROR(SUM(OSRRefE11_0x),0)</f>
        <v>163.12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1"/>
        <v>0</v>
      </c>
      <c r="F12" s="2">
        <f t="shared" ref="F12:I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v>47520</v>
      </c>
      <c r="K12" s="2">
        <v>120960</v>
      </c>
      <c r="L12" s="2">
        <v>116640</v>
      </c>
      <c r="M12" s="2">
        <v>116640</v>
      </c>
      <c r="N12" s="2">
        <v>64800</v>
      </c>
      <c r="O12" s="2"/>
      <c r="Q12" s="2">
        <f>SUM(OSRRefD11_1x)+IFERROR(SUM(OSRRefE11_1x),0)</f>
        <v>466560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--41610.58</f>
        <v>41610.58</v>
      </c>
      <c r="F13" s="2">
        <f>--161127.28</f>
        <v>161127.28</v>
      </c>
      <c r="G13" s="2">
        <f>--287723.81</f>
        <v>287723.81</v>
      </c>
      <c r="H13" s="2">
        <f>--230179.05</f>
        <v>230179.05</v>
      </c>
      <c r="I13" s="2">
        <f>--172634.28</f>
        <v>172634.28</v>
      </c>
      <c r="J13" s="2"/>
      <c r="K13" s="2"/>
      <c r="L13" s="2"/>
      <c r="M13" s="2"/>
      <c r="N13" s="2"/>
      <c r="O13" s="2"/>
      <c r="Q13" s="2">
        <f>SUM(OSRRefD11_2x)+IFERROR(SUM(OSRRefE11_2x),0)</f>
        <v>893275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--282.2</f>
        <v>282.2</v>
      </c>
      <c r="F14" s="2">
        <f>--1028.08</f>
        <v>1028.08</v>
      </c>
      <c r="G14" s="2">
        <f>--1324.68</f>
        <v>1324.68</v>
      </c>
      <c r="H14" s="2">
        <f>--915.48</f>
        <v>915.48</v>
      </c>
      <c r="I14" s="2">
        <f>--924.45</f>
        <v>924.45</v>
      </c>
      <c r="J14" s="2"/>
      <c r="K14" s="2"/>
      <c r="L14" s="2"/>
      <c r="M14" s="2"/>
      <c r="N14" s="2"/>
      <c r="O14" s="2"/>
      <c r="Q14" s="2">
        <f>SUM(OSRRefD11_3x)+IFERROR(SUM(OSRRefE11_3x),0)</f>
        <v>4474.8900000000003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34326.449999999997</v>
      </c>
      <c r="F16" s="3">
        <f>SUM(OSRRefD14x_2)</f>
        <v>55730.09</v>
      </c>
      <c r="G16" s="3">
        <f>SUM(OSRRefD14x_3)</f>
        <v>71470.430000000008</v>
      </c>
      <c r="H16" s="3">
        <f>SUM(OSRRefD14x_4)</f>
        <v>42969.06</v>
      </c>
      <c r="I16" s="3">
        <f>SUM(OSRRefD14x_5)</f>
        <v>32880.259999999995</v>
      </c>
      <c r="J16" s="3">
        <f>SUM(OSRRefE14x_0)</f>
        <v>12355</v>
      </c>
      <c r="K16" s="3">
        <f>SUM(OSRRefE14x_1)</f>
        <v>29030</v>
      </c>
      <c r="L16" s="3">
        <f>SUM(OSRRefE14x_2)</f>
        <v>27994</v>
      </c>
      <c r="M16" s="3">
        <f>SUM(OSRRefE14x_3)</f>
        <v>27994</v>
      </c>
      <c r="N16" s="3">
        <f>SUM(OSRRefE14x_4)</f>
        <v>14256</v>
      </c>
      <c r="O16" s="3">
        <f>SUM(OSRRefE14x_5)</f>
        <v>0</v>
      </c>
      <c r="Q16" s="3">
        <f>SUM(OSRRefG14x)</f>
        <v>349005.29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12355</v>
      </c>
      <c r="K17" s="2">
        <v>29030</v>
      </c>
      <c r="L17" s="2">
        <v>27994</v>
      </c>
      <c r="M17" s="2">
        <v>27994</v>
      </c>
      <c r="N17" s="2">
        <v>14256</v>
      </c>
      <c r="O17" s="2"/>
      <c r="Q17" s="2">
        <f>SUM(OSRRefD14_0x)+IFERROR(SUM(OSRRefE14_0x),0)</f>
        <v>111629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47579.45</v>
      </c>
      <c r="F18" s="2">
        <v>63697.09</v>
      </c>
      <c r="G18" s="2">
        <v>68749.490000000005</v>
      </c>
      <c r="H18" s="2">
        <v>43314.06</v>
      </c>
      <c r="I18" s="2">
        <v>22863.26</v>
      </c>
      <c r="J18" s="2"/>
      <c r="K18" s="2"/>
      <c r="L18" s="2"/>
      <c r="M18" s="2"/>
      <c r="N18" s="2"/>
      <c r="O18" s="2"/>
      <c r="Q18" s="2">
        <f>SUM(OSRRefD14_1x)+IFERROR(SUM(OSRRefE14_1x),0)</f>
        <v>246203.35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-13253</v>
      </c>
      <c r="F19" s="2">
        <v>-7967</v>
      </c>
      <c r="G19" s="2">
        <v>2720.94</v>
      </c>
      <c r="H19" s="2">
        <v>-345</v>
      </c>
      <c r="I19" s="2">
        <v>10017</v>
      </c>
      <c r="J19" s="2"/>
      <c r="K19" s="2"/>
      <c r="L19" s="2"/>
      <c r="M19" s="2"/>
      <c r="N19" s="2"/>
      <c r="O19" s="2"/>
      <c r="Q19" s="2">
        <f>SUM(OSRRefD14_2x)+IFERROR(SUM(OSRRefE14_2x),0)</f>
        <v>-8827.0600000000013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7566.3300000000017</v>
      </c>
      <c r="F21" s="7">
        <f t="shared" si="3"/>
        <v>106488.09999999998</v>
      </c>
      <c r="G21" s="7">
        <f t="shared" si="3"/>
        <v>217589.18</v>
      </c>
      <c r="H21" s="7">
        <f t="shared" si="3"/>
        <v>188160.59</v>
      </c>
      <c r="I21" s="7">
        <f t="shared" si="3"/>
        <v>140732.52000000002</v>
      </c>
      <c r="J21" s="7">
        <f t="shared" si="3"/>
        <v>35165</v>
      </c>
      <c r="K21" s="7">
        <f t="shared" si="3"/>
        <v>91930</v>
      </c>
      <c r="L21" s="7">
        <f t="shared" si="3"/>
        <v>88646</v>
      </c>
      <c r="M21" s="7">
        <f t="shared" si="3"/>
        <v>88646</v>
      </c>
      <c r="N21" s="7">
        <f t="shared" si="3"/>
        <v>50544</v>
      </c>
      <c r="O21" s="7">
        <f t="shared" si="3"/>
        <v>0</v>
      </c>
      <c r="Q21" s="7">
        <f>IFERROR(+Q10-Q16, 0)</f>
        <v>1015467.72</v>
      </c>
    </row>
    <row r="22" spans="1:17" s="6" customFormat="1" x14ac:dyDescent="0.3">
      <c r="B22" s="16"/>
      <c r="C22" s="16"/>
      <c r="D22" s="4">
        <f t="shared" ref="D22:O22" si="4">IFERROR(D21/D10, 0)</f>
        <v>0</v>
      </c>
      <c r="E22" s="4">
        <f t="shared" si="4"/>
        <v>0.18061179038488259</v>
      </c>
      <c r="F22" s="4">
        <f t="shared" si="4"/>
        <v>0.65644980997507119</v>
      </c>
      <c r="G22" s="4">
        <f t="shared" si="4"/>
        <v>0.75274847288419167</v>
      </c>
      <c r="H22" s="4">
        <f t="shared" si="4"/>
        <v>0.8140910956253341</v>
      </c>
      <c r="I22" s="4">
        <f t="shared" si="4"/>
        <v>0.81061152295355221</v>
      </c>
      <c r="J22" s="4">
        <f t="shared" si="4"/>
        <v>0.7400042087542088</v>
      </c>
      <c r="K22" s="4">
        <f t="shared" si="4"/>
        <v>0.76000330687830686</v>
      </c>
      <c r="L22" s="4">
        <f t="shared" si="4"/>
        <v>0.75999657064471882</v>
      </c>
      <c r="M22" s="4">
        <f t="shared" si="4"/>
        <v>0.75999657064471882</v>
      </c>
      <c r="N22" s="4">
        <f t="shared" si="4"/>
        <v>0.78</v>
      </c>
      <c r="O22" s="4">
        <f t="shared" si="4"/>
        <v>0</v>
      </c>
      <c r="P22" s="18"/>
      <c r="Q22" s="4">
        <f>IFERROR(Q21/Q10, 0)</f>
        <v>0.74421971893749661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40764.729999999996</v>
      </c>
      <c r="E24" s="12">
        <f>SUM(OSRRefD20x_1)</f>
        <v>72082.450000000012</v>
      </c>
      <c r="F24" s="12">
        <f>SUM(OSRRefD20x_2)</f>
        <v>122556.41</v>
      </c>
      <c r="G24" s="12">
        <f>SUM(OSRRefD20x_3)</f>
        <v>199825.16999999995</v>
      </c>
      <c r="H24" s="12">
        <f>SUM(OSRRefD20x_4)</f>
        <v>119707.03000000001</v>
      </c>
      <c r="I24" s="12">
        <f>SUM(OSRRefD20x_5)</f>
        <v>111423.10999999999</v>
      </c>
      <c r="J24" s="12">
        <f>SUM(OSRRefE20x_0)</f>
        <v>119023.74674615386</v>
      </c>
      <c r="K24" s="12">
        <f>SUM(OSRRefE20x_1)</f>
        <v>128826.50299692311</v>
      </c>
      <c r="L24" s="12">
        <f>SUM(OSRRefE20x_2)</f>
        <v>128830.50299692311</v>
      </c>
      <c r="M24" s="12">
        <f>SUM(OSRRefE20x_3)</f>
        <v>143590.23474615387</v>
      </c>
      <c r="N24" s="12">
        <f>SUM(OSRRefE20x_4)</f>
        <v>101331.21499692311</v>
      </c>
      <c r="O24" s="12">
        <f>SUM(OSRRefE20x_5)</f>
        <v>67671.92699692311</v>
      </c>
      <c r="Q24" s="12">
        <f>SUM(OSRRefG20x)</f>
        <v>1355633.0294800005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18504.859999999997</v>
      </c>
      <c r="E25" s="1">
        <f>SUM(OSRRefD21_0x_1)</f>
        <v>20397.68</v>
      </c>
      <c r="F25" s="1">
        <f>SUM(OSRRefD21_0x_2)</f>
        <v>22817.989999999998</v>
      </c>
      <c r="G25" s="1">
        <f>SUM(OSRRefD21_0x_3)</f>
        <v>28618.34</v>
      </c>
      <c r="H25" s="1">
        <f>SUM(OSRRefD21_0x_4)</f>
        <v>23035.47</v>
      </c>
      <c r="I25" s="1">
        <f>SUM(OSRRefD21_0x_5)</f>
        <v>22057.569999999996</v>
      </c>
      <c r="J25" s="1">
        <f>SUM(OSRRefE21_0x_0)</f>
        <v>35139.093515384637</v>
      </c>
      <c r="K25" s="1">
        <f>SUM(OSRRefE21_0x_1)</f>
        <v>30532.239612307727</v>
      </c>
      <c r="L25" s="1">
        <f>SUM(OSRRefE21_0x_2)</f>
        <v>30532.239612307727</v>
      </c>
      <c r="M25" s="1">
        <f>SUM(OSRRefE21_0x_3)</f>
        <v>36452.097515384638</v>
      </c>
      <c r="N25" s="1">
        <f>SUM(OSRRefE21_0x_4)</f>
        <v>29000.835612307725</v>
      </c>
      <c r="O25" s="1">
        <f>SUM(OSRRefE21_0x_5)</f>
        <v>27581.43161230773</v>
      </c>
      <c r="Q25" s="2">
        <f>SUM(OSRRefD20_0x)+IFERROR(SUM(OSRRefE20_0x),0)</f>
        <v>324669.84748000023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1377.24</v>
      </c>
      <c r="E26" s="2">
        <v>2187.8000000000002</v>
      </c>
      <c r="F26" s="2">
        <v>4154.1000000000004</v>
      </c>
      <c r="G26" s="2">
        <v>5036.92</v>
      </c>
      <c r="H26" s="2">
        <v>2980.93</v>
      </c>
      <c r="I26" s="2">
        <v>2826.53</v>
      </c>
      <c r="J26" s="2">
        <v>3292.49720769231</v>
      </c>
      <c r="K26" s="2">
        <v>2633.9977661538501</v>
      </c>
      <c r="L26" s="2">
        <v>2633.9977661538501</v>
      </c>
      <c r="M26" s="2">
        <v>3292.49720769231</v>
      </c>
      <c r="N26" s="2">
        <v>2633.9977661538501</v>
      </c>
      <c r="O26" s="2">
        <v>2633.9977661538501</v>
      </c>
      <c r="P26" s="9"/>
      <c r="Q26" s="2">
        <f>SUM(OSRRefD21_0_0x)+IFERROR(SUM(OSRRefE21_0_0x),0)</f>
        <v>35684.505480000022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646.99</v>
      </c>
      <c r="E27" s="2">
        <v>973.22</v>
      </c>
      <c r="F27" s="2">
        <v>2139</v>
      </c>
      <c r="G27" s="2">
        <v>3718.33</v>
      </c>
      <c r="H27" s="2">
        <v>2384.36</v>
      </c>
      <c r="I27" s="2">
        <v>2093.1</v>
      </c>
      <c r="J27" s="2">
        <v>2517.2993415384599</v>
      </c>
      <c r="K27" s="2">
        <v>2902.0881292307699</v>
      </c>
      <c r="L27" s="2">
        <v>2902.0881292307699</v>
      </c>
      <c r="M27" s="2">
        <v>3228.1972215384599</v>
      </c>
      <c r="N27" s="2">
        <v>2072.9422492307699</v>
      </c>
      <c r="O27" s="2">
        <v>1304.43636923077</v>
      </c>
      <c r="P27" s="9"/>
      <c r="Q27" s="2">
        <f>SUM(OSRRefD21_0_1x)+IFERROR(SUM(OSRRefE21_0_1x),0)</f>
        <v>26882.051439999999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12451.67</v>
      </c>
      <c r="E28" s="2">
        <v>12451.66</v>
      </c>
      <c r="F28" s="2">
        <v>10735.63</v>
      </c>
      <c r="G28" s="2">
        <v>11951.73</v>
      </c>
      <c r="H28" s="2">
        <v>11954.18</v>
      </c>
      <c r="I28" s="2">
        <v>11954.17</v>
      </c>
      <c r="J28" s="2">
        <v>22728.9230769231</v>
      </c>
      <c r="K28" s="2">
        <v>18578.538461538501</v>
      </c>
      <c r="L28" s="2">
        <v>18578.538461538501</v>
      </c>
      <c r="M28" s="2">
        <v>22728.9230769231</v>
      </c>
      <c r="N28" s="2">
        <v>18578.538461538501</v>
      </c>
      <c r="O28" s="2">
        <v>18578.538461538501</v>
      </c>
      <c r="P28" s="9"/>
      <c r="Q28" s="2">
        <f>SUM(OSRRefD21_0_2x)+IFERROR(SUM(OSRRefE21_0_2x),0)</f>
        <v>191271.04000000021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46.73</v>
      </c>
      <c r="E29" s="2">
        <v>70.290000000000006</v>
      </c>
      <c r="F29" s="2">
        <v>154.47999999999999</v>
      </c>
      <c r="G29" s="2">
        <v>268.55</v>
      </c>
      <c r="H29" s="2">
        <v>172.2</v>
      </c>
      <c r="I29" s="2">
        <v>151.18</v>
      </c>
      <c r="J29" s="2">
        <v>139.480966153846</v>
      </c>
      <c r="K29" s="2">
        <v>160.80171692307701</v>
      </c>
      <c r="L29" s="2">
        <v>160.80171692307701</v>
      </c>
      <c r="M29" s="2">
        <v>178.87108615384599</v>
      </c>
      <c r="N29" s="2">
        <v>114.85959692307701</v>
      </c>
      <c r="O29" s="2">
        <v>72.277476923076904</v>
      </c>
      <c r="P29" s="9"/>
      <c r="Q29" s="2">
        <f>SUM(OSRRefD21_0_3x)+IFERROR(SUM(OSRRefE21_0_3x),0)</f>
        <v>1690.5225600000001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487.42</v>
      </c>
      <c r="E30" s="2">
        <v>685.93</v>
      </c>
      <c r="F30" s="2">
        <v>836.6</v>
      </c>
      <c r="G30" s="2">
        <v>595.52</v>
      </c>
      <c r="H30" s="2">
        <v>397.02</v>
      </c>
      <c r="I30" s="2">
        <v>397.02</v>
      </c>
      <c r="J30" s="2">
        <v>511.038461538462</v>
      </c>
      <c r="K30" s="2">
        <v>408.83076923076902</v>
      </c>
      <c r="L30" s="2">
        <v>408.83076923076902</v>
      </c>
      <c r="M30" s="2">
        <v>511.038461538462</v>
      </c>
      <c r="N30" s="2">
        <v>408.83076923076902</v>
      </c>
      <c r="O30" s="2">
        <v>408.83076923076902</v>
      </c>
      <c r="P30" s="9"/>
      <c r="Q30" s="2">
        <f>SUM(OSRRefD21_0_4x)+IFERROR(SUM(OSRRefE21_0_4x),0)</f>
        <v>6056.91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512.19000000000005</v>
      </c>
      <c r="E32" s="2">
        <v>921.45</v>
      </c>
      <c r="F32" s="2">
        <v>552.17999999999995</v>
      </c>
      <c r="G32" s="2">
        <v>898.11</v>
      </c>
      <c r="H32" s="2">
        <v>873.9</v>
      </c>
      <c r="I32" s="2">
        <v>726.17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4484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1260.5899999999999</v>
      </c>
      <c r="E33" s="2">
        <v>1329.08</v>
      </c>
      <c r="F33" s="2">
        <v>1644.87</v>
      </c>
      <c r="G33" s="2">
        <v>2384.17</v>
      </c>
      <c r="H33" s="2">
        <v>1599.52</v>
      </c>
      <c r="I33" s="2">
        <v>1599.52</v>
      </c>
      <c r="J33" s="2">
        <v>2032.26923076923</v>
      </c>
      <c r="K33" s="2">
        <v>1625.81538461538</v>
      </c>
      <c r="L33" s="2">
        <v>1625.81538461538</v>
      </c>
      <c r="M33" s="2">
        <v>2032.26923076923</v>
      </c>
      <c r="N33" s="2">
        <v>1625.81538461538</v>
      </c>
      <c r="O33" s="2">
        <v>1625.81538461538</v>
      </c>
      <c r="P33" s="9"/>
      <c r="Q33" s="2">
        <f>SUM(OSRRefD21_0_7x)+IFERROR(SUM(OSRRefE21_0_7x),0)</f>
        <v>20385.549999999981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961.41</v>
      </c>
      <c r="E34" s="2">
        <v>1060.42</v>
      </c>
      <c r="F34" s="2">
        <v>1459.52</v>
      </c>
      <c r="G34" s="2">
        <v>2152.41</v>
      </c>
      <c r="H34" s="2">
        <v>1384.76</v>
      </c>
      <c r="I34" s="2">
        <v>1384.76</v>
      </c>
      <c r="J34" s="2">
        <v>1992.5852307692301</v>
      </c>
      <c r="K34" s="2">
        <v>2297.1673846153799</v>
      </c>
      <c r="L34" s="2">
        <v>2297.1673846153799</v>
      </c>
      <c r="M34" s="2">
        <v>2555.3012307692302</v>
      </c>
      <c r="N34" s="2">
        <v>1640.8513846153801</v>
      </c>
      <c r="O34" s="2">
        <v>1032.5353846153801</v>
      </c>
      <c r="P34" s="9"/>
      <c r="Q34" s="2">
        <f>SUM(OSRRefD21_0_8x)+IFERROR(SUM(OSRRefE21_0_8x),0)</f>
        <v>20218.887999999981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760.62</v>
      </c>
      <c r="E35" s="2">
        <v>717.83</v>
      </c>
      <c r="F35" s="2">
        <v>1141.6099999999999</v>
      </c>
      <c r="G35" s="2">
        <v>1612.6</v>
      </c>
      <c r="H35" s="2">
        <v>1288.5999999999999</v>
      </c>
      <c r="I35" s="2">
        <v>925.12</v>
      </c>
      <c r="J35" s="2">
        <v>1925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17996.38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19517.169999999998</v>
      </c>
      <c r="E36" s="1">
        <f>SUM(OSRRefD21_1x_1)</f>
        <v>33411.229999999996</v>
      </c>
      <c r="F36" s="1">
        <f>SUM(OSRRefD21_1x_2)</f>
        <v>68381.959999999992</v>
      </c>
      <c r="G36" s="1">
        <f>SUM(OSRRefD21_1x_3)</f>
        <v>112128.89</v>
      </c>
      <c r="H36" s="1">
        <f>SUM(OSRRefD21_1x_4)</f>
        <v>64971.34</v>
      </c>
      <c r="I36" s="1">
        <f>SUM(OSRRefD21_1x_5)</f>
        <v>65424.09</v>
      </c>
      <c r="J36" s="1">
        <f>SUM(OSRRefE21_1x_0)</f>
        <v>62394.653230769225</v>
      </c>
      <c r="K36" s="1">
        <f>SUM(OSRRefE21_1x_1)</f>
        <v>72649.263384615377</v>
      </c>
      <c r="L36" s="1">
        <f>SUM(OSRRefE21_1x_2)</f>
        <v>72649.263384615377</v>
      </c>
      <c r="M36" s="1">
        <f>SUM(OSRRefE21_1x_3)</f>
        <v>80589.137230769222</v>
      </c>
      <c r="N36" s="1">
        <f>SUM(OSRRefE21_1x_4)</f>
        <v>51428.379384615379</v>
      </c>
      <c r="O36" s="1">
        <f>SUM(OSRRefE21_1x_5)</f>
        <v>31759.49538461538</v>
      </c>
      <c r="Q36" s="2">
        <f>SUM(OSRRefD20_1x)+IFERROR(SUM(OSRRefE20_1x),0)</f>
        <v>735304.87199999997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5600</v>
      </c>
      <c r="E38" s="2">
        <v>4819.3900000000003</v>
      </c>
      <c r="F38" s="2">
        <v>8136.36</v>
      </c>
      <c r="G38" s="2">
        <v>6374.71</v>
      </c>
      <c r="H38" s="2">
        <v>5230.78</v>
      </c>
      <c r="I38" s="2">
        <v>4707.7</v>
      </c>
      <c r="J38" s="2">
        <v>5585.7692307692296</v>
      </c>
      <c r="K38" s="2">
        <v>4468.6153846153802</v>
      </c>
      <c r="L38" s="2">
        <v>4468.6153846153802</v>
      </c>
      <c r="M38" s="2">
        <v>5585.7692307692296</v>
      </c>
      <c r="N38" s="2">
        <v>4468.6153846153802</v>
      </c>
      <c r="O38" s="2">
        <v>4468.6153846153802</v>
      </c>
      <c r="P38" s="9"/>
      <c r="Q38" s="2">
        <f>SUM(OSRRefD21_1_1x)+IFERROR(SUM(OSRRefE21_1_1x),0)</f>
        <v>63914.939999999973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11837.17</v>
      </c>
      <c r="E40" s="2">
        <v>15407.3</v>
      </c>
      <c r="F40" s="2">
        <v>35436.99</v>
      </c>
      <c r="G40" s="2">
        <v>45034.81</v>
      </c>
      <c r="H40" s="2">
        <v>26705.200000000001</v>
      </c>
      <c r="I40" s="2">
        <v>23297.05</v>
      </c>
      <c r="J40" s="2">
        <v>34113.599999999999</v>
      </c>
      <c r="K40" s="2">
        <v>27290.880000000001</v>
      </c>
      <c r="L40" s="2">
        <v>27290.880000000001</v>
      </c>
      <c r="M40" s="2">
        <v>34113.599999999999</v>
      </c>
      <c r="N40" s="2">
        <v>27290.880000000001</v>
      </c>
      <c r="O40" s="2">
        <v>27290.880000000001</v>
      </c>
      <c r="P40" s="9"/>
      <c r="Q40" s="2">
        <f>SUM(OSRRefD21_1_3x)+IFERROR(SUM(OSRRefE21_1_3x),0)</f>
        <v>335109.24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1407.68</v>
      </c>
      <c r="F41" s="2">
        <v>10505.25</v>
      </c>
      <c r="G41" s="2">
        <v>38422.629999999997</v>
      </c>
      <c r="H41" s="2">
        <v>6253.65</v>
      </c>
      <c r="I41" s="2">
        <v>14233.56</v>
      </c>
      <c r="J41" s="2">
        <v>6130.4</v>
      </c>
      <c r="K41" s="2">
        <v>7760</v>
      </c>
      <c r="L41" s="2">
        <v>7760</v>
      </c>
      <c r="M41" s="2">
        <v>7760</v>
      </c>
      <c r="N41" s="2">
        <v>3104</v>
      </c>
      <c r="O41" s="2">
        <v>0</v>
      </c>
      <c r="P41" s="9"/>
      <c r="Q41" s="2">
        <f>SUM(OSRRefD21_1_4x)+IFERROR(SUM(OSRRefE21_1_4x),0)</f>
        <v>103337.17000000001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2080</v>
      </c>
      <c r="E43" s="2">
        <v>11776.86</v>
      </c>
      <c r="F43" s="2">
        <v>13245.38</v>
      </c>
      <c r="G43" s="2">
        <v>17484.52</v>
      </c>
      <c r="H43" s="2">
        <v>18636.72</v>
      </c>
      <c r="I43" s="2">
        <v>15150.97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78374.45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1057.98</v>
      </c>
      <c r="G44" s="2">
        <v>4812.22</v>
      </c>
      <c r="H44" s="2">
        <v>8144.99</v>
      </c>
      <c r="I44" s="2">
        <v>8034.81</v>
      </c>
      <c r="J44" s="2">
        <v>16564.883999999998</v>
      </c>
      <c r="K44" s="2">
        <v>33129.767999999996</v>
      </c>
      <c r="L44" s="2">
        <v>33129.767999999996</v>
      </c>
      <c r="M44" s="2">
        <v>33129.767999999996</v>
      </c>
      <c r="N44" s="2">
        <v>16564.883999999998</v>
      </c>
      <c r="O44" s="2">
        <v>0</v>
      </c>
      <c r="P44" s="9"/>
      <c r="Q44" s="2">
        <f>SUM(OSRRefD21_1_7x)+IFERROR(SUM(OSRRefE21_1_7x),0)</f>
        <v>154569.07199999999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40.32</v>
      </c>
      <c r="E47" s="1">
        <f>SUM(OSRRefD21_2x_1)</f>
        <v>722.41</v>
      </c>
      <c r="F47" s="1">
        <f>SUM(OSRRefD21_2x_2)</f>
        <v>92.54</v>
      </c>
      <c r="G47" s="1">
        <f>SUM(OSRRefD21_2x_3)</f>
        <v>0</v>
      </c>
      <c r="H47" s="1">
        <f>SUM(OSRRefD21_2x_4)</f>
        <v>0</v>
      </c>
      <c r="I47" s="1">
        <f>SUM(OSRRefD21_2x_5)</f>
        <v>68.040000000000006</v>
      </c>
      <c r="J47" s="1">
        <f>SUM(OSRRefE21_2x_0)</f>
        <v>350</v>
      </c>
      <c r="K47" s="1">
        <f>SUM(OSRRefE21_2x_1)</f>
        <v>350</v>
      </c>
      <c r="L47" s="1">
        <f>SUM(OSRRefE21_2x_2)</f>
        <v>350</v>
      </c>
      <c r="M47" s="1">
        <f>SUM(OSRRefE21_2x_3)</f>
        <v>350</v>
      </c>
      <c r="N47" s="1">
        <f>SUM(OSRRefE21_2x_4)</f>
        <v>350</v>
      </c>
      <c r="O47" s="1">
        <f>SUM(OSRRefE21_2x_5)</f>
        <v>0</v>
      </c>
      <c r="Q47" s="2">
        <f>SUM(OSRRefD20_2x)+IFERROR(SUM(OSRRefE20_2x),0)</f>
        <v>2673.31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40.32</v>
      </c>
      <c r="E48" s="2">
        <v>722.41</v>
      </c>
      <c r="F48" s="2">
        <v>92.54</v>
      </c>
      <c r="G48" s="2"/>
      <c r="H48" s="2"/>
      <c r="I48" s="2">
        <v>68.040000000000006</v>
      </c>
      <c r="J48" s="2">
        <v>350</v>
      </c>
      <c r="K48" s="2">
        <v>350</v>
      </c>
      <c r="L48" s="2">
        <v>350</v>
      </c>
      <c r="M48" s="2">
        <v>350</v>
      </c>
      <c r="N48" s="2">
        <v>350</v>
      </c>
      <c r="O48" s="2"/>
      <c r="P48" s="9"/>
      <c r="Q48" s="2">
        <f>SUM(OSRRefD21_2_0x)+IFERROR(SUM(OSRRefE21_2_0x),0)</f>
        <v>2673.31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SUM(OSRRefE21_3x_0)</f>
        <v>10</v>
      </c>
      <c r="K49" s="1">
        <f>SUM(OSRRefE21_3x_1)</f>
        <v>10</v>
      </c>
      <c r="L49" s="1">
        <f>SUM(OSRRefE21_3x_2)</f>
        <v>10</v>
      </c>
      <c r="M49" s="1">
        <f>SUM(OSRRefE21_3x_3)</f>
        <v>10</v>
      </c>
      <c r="N49" s="1">
        <f>SUM(OSRRefE21_3x_4)</f>
        <v>10</v>
      </c>
      <c r="O49" s="1">
        <f>SUM(OSRRefE21_3x_5)</f>
        <v>0</v>
      </c>
      <c r="Q49" s="2">
        <f>SUM(OSRRefD20_3x)+IFERROR(SUM(OSRRefE20_3x),0)</f>
        <v>50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/>
      <c r="I50" s="2"/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/>
      <c r="P50" s="9"/>
      <c r="Q50" s="2">
        <f>SUM(OSRRefD21_3_0x)+IFERROR(SUM(OSRRefE21_3_0x),0)</f>
        <v>50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40.56</v>
      </c>
      <c r="F51" s="1">
        <f>SUM(OSRRefD21_4x_2)</f>
        <v>54.14</v>
      </c>
      <c r="G51" s="1">
        <f>SUM(OSRRefD21_4x_3)</f>
        <v>51.4</v>
      </c>
      <c r="H51" s="1">
        <f>SUM(OSRRefD21_4x_4)</f>
        <v>41.19</v>
      </c>
      <c r="I51" s="1">
        <f>SUM(OSRRefD21_4x_5)</f>
        <v>68.28</v>
      </c>
      <c r="J51" s="1">
        <f>SUM(OSRRefE21_4x_0)</f>
        <v>25</v>
      </c>
      <c r="K51" s="1">
        <f>SUM(OSRRefE21_4x_1)</f>
        <v>25</v>
      </c>
      <c r="L51" s="1">
        <f>SUM(OSRRefE21_4x_2)</f>
        <v>25</v>
      </c>
      <c r="M51" s="1">
        <f>SUM(OSRRefE21_4x_3)</f>
        <v>25</v>
      </c>
      <c r="N51" s="1">
        <f>SUM(OSRRefE21_4x_4)</f>
        <v>25</v>
      </c>
      <c r="O51" s="1">
        <f>SUM(OSRRefE21_4x_5)</f>
        <v>0</v>
      </c>
      <c r="Q51" s="2">
        <f>SUM(OSRRefD20_4x)+IFERROR(SUM(OSRRefE20_4x),0)</f>
        <v>380.57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40.56</v>
      </c>
      <c r="F52" s="2">
        <v>54.14</v>
      </c>
      <c r="G52" s="2">
        <v>51.4</v>
      </c>
      <c r="H52" s="2">
        <v>41.19</v>
      </c>
      <c r="I52" s="2">
        <v>68.28</v>
      </c>
      <c r="J52" s="2">
        <v>25</v>
      </c>
      <c r="K52" s="2">
        <v>25</v>
      </c>
      <c r="L52" s="2">
        <v>25</v>
      </c>
      <c r="M52" s="2">
        <v>25</v>
      </c>
      <c r="N52" s="2">
        <v>25</v>
      </c>
      <c r="O52" s="2"/>
      <c r="P52" s="9"/>
      <c r="Q52" s="2">
        <f>SUM(OSRRefD21_4_0x)+IFERROR(SUM(OSRRefE21_4_0x),0)</f>
        <v>380.57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213.02</v>
      </c>
      <c r="E53" s="1">
        <f>SUM(OSRRefD21_5x_1)</f>
        <v>213.02</v>
      </c>
      <c r="F53" s="1">
        <f>SUM(OSRRefD21_5x_2)</f>
        <v>213.02</v>
      </c>
      <c r="G53" s="1">
        <f>SUM(OSRRefD21_5x_3)</f>
        <v>213.02</v>
      </c>
      <c r="H53" s="1">
        <f>SUM(OSRRefD21_5x_4)</f>
        <v>213.02</v>
      </c>
      <c r="I53" s="1">
        <f>SUM(OSRRefD21_5x_5)</f>
        <v>213.02</v>
      </c>
      <c r="J53" s="1">
        <f>SUM(OSRRefE21_5x_0)</f>
        <v>213</v>
      </c>
      <c r="K53" s="1">
        <f>SUM(OSRRefE21_5x_1)</f>
        <v>213</v>
      </c>
      <c r="L53" s="1">
        <f>SUM(OSRRefE21_5x_2)</f>
        <v>213</v>
      </c>
      <c r="M53" s="1">
        <f>SUM(OSRRefE21_5x_3)</f>
        <v>213</v>
      </c>
      <c r="N53" s="1">
        <f>SUM(OSRRefE21_5x_4)</f>
        <v>213</v>
      </c>
      <c r="O53" s="1">
        <f>SUM(OSRRefE21_5x_5)</f>
        <v>213</v>
      </c>
      <c r="Q53" s="2">
        <f>SUM(OSRRefD20_5x)+IFERROR(SUM(OSRRefE20_5x),0)</f>
        <v>2556.12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213.02</v>
      </c>
      <c r="E54" s="2">
        <v>213.02</v>
      </c>
      <c r="F54" s="2">
        <v>213.02</v>
      </c>
      <c r="G54" s="2">
        <v>213.02</v>
      </c>
      <c r="H54" s="2">
        <v>213.02</v>
      </c>
      <c r="I54" s="2">
        <v>213.02</v>
      </c>
      <c r="J54" s="2">
        <v>213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2556.12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662.3</v>
      </c>
      <c r="F55" s="1">
        <f>SUM(OSRRefD21_6x_2)</f>
        <v>1854.43</v>
      </c>
      <c r="G55" s="1">
        <f>SUM(OSRRefD21_6x_3)</f>
        <v>1738.52</v>
      </c>
      <c r="H55" s="1">
        <f>SUM(OSRRefD21_6x_4)</f>
        <v>1390.82</v>
      </c>
      <c r="I55" s="1">
        <f>SUM(OSRRefD21_6x_5)</f>
        <v>413.93</v>
      </c>
      <c r="J55" s="1">
        <f>SUM(OSRRefE21_6x_0)</f>
        <v>3000</v>
      </c>
      <c r="K55" s="1">
        <f>SUM(OSRRefE21_6x_1)</f>
        <v>3000</v>
      </c>
      <c r="L55" s="1">
        <f>SUM(OSRRefE21_6x_2)</f>
        <v>3000</v>
      </c>
      <c r="M55" s="1">
        <f>SUM(OSRRefE21_6x_3)</f>
        <v>3000</v>
      </c>
      <c r="N55" s="1">
        <f>SUM(OSRRefE21_6x_4)</f>
        <v>3000</v>
      </c>
      <c r="O55" s="1">
        <f>SUM(OSRRefE21_6x_5)</f>
        <v>0</v>
      </c>
      <c r="Q55" s="2">
        <f>SUM(OSRRefD20_6x)+IFERROR(SUM(OSRRefE20_6x),0)</f>
        <v>21060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662.3</v>
      </c>
      <c r="F56" s="2">
        <v>1854.43</v>
      </c>
      <c r="G56" s="2">
        <v>1738.52</v>
      </c>
      <c r="H56" s="2">
        <v>1390.82</v>
      </c>
      <c r="I56" s="2">
        <v>413.93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/>
      <c r="P56" s="9"/>
      <c r="Q56" s="2">
        <f>SUM(OSRRefD21_6_0x)+IFERROR(SUM(OSRRefE21_6_0x),0)</f>
        <v>21060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SUM(OSRRefE21_7x_0)</f>
        <v>50</v>
      </c>
      <c r="K57" s="1">
        <f>SUM(OSRRefE21_7x_1)</f>
        <v>50</v>
      </c>
      <c r="L57" s="1">
        <f>SUM(OSRRefE21_7x_2)</f>
        <v>50</v>
      </c>
      <c r="M57" s="1">
        <f>SUM(OSRRefE21_7x_3)</f>
        <v>50</v>
      </c>
      <c r="N57" s="1">
        <f>SUM(OSRRefE21_7x_4)</f>
        <v>50</v>
      </c>
      <c r="O57" s="1">
        <f>SUM(OSRRefE21_7x_5)</f>
        <v>50</v>
      </c>
      <c r="Q57" s="2">
        <f>SUM(OSRRefD20_7x)+IFERROR(SUM(OSRRefE20_7x),0)</f>
        <v>314.49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/>
      <c r="I58" s="2"/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SUM(OSRRefD21_7_0x)+IFERROR(SUM(OSRRefE21_7_0x),0)</f>
        <v>314.49</v>
      </c>
    </row>
    <row r="59" spans="1:17" s="35" customFormat="1" collapsed="1" x14ac:dyDescent="0.3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1469.55</v>
      </c>
      <c r="F59" s="1">
        <f>SUM(OSRRefD21_8x_2)</f>
        <v>0</v>
      </c>
      <c r="G59" s="1">
        <f>SUM(OSRRefD21_8x_3)</f>
        <v>297.61</v>
      </c>
      <c r="H59" s="1">
        <f>SUM(OSRRefD21_8x_4)</f>
        <v>0</v>
      </c>
      <c r="I59" s="1">
        <f>SUM(OSRRefD21_8x_5)</f>
        <v>0</v>
      </c>
      <c r="J59" s="1">
        <f>SUM(OSRRefE21_8x_0)</f>
        <v>0</v>
      </c>
      <c r="K59" s="1">
        <f>SUM(OSRRefE21_8x_1)</f>
        <v>0</v>
      </c>
      <c r="L59" s="1">
        <f>SUM(OSRRefE21_8x_2)</f>
        <v>600</v>
      </c>
      <c r="M59" s="1">
        <f>SUM(OSRRefE21_8x_3)</f>
        <v>0</v>
      </c>
      <c r="N59" s="1">
        <f>SUM(OSRRefE21_8x_4)</f>
        <v>0</v>
      </c>
      <c r="O59" s="1">
        <f>SUM(OSRRefE21_8x_5)</f>
        <v>0</v>
      </c>
      <c r="Q59" s="2">
        <f>SUM(OSRRefD20_8x)+IFERROR(SUM(OSRRefE20_8x),0)</f>
        <v>2367.16</v>
      </c>
    </row>
    <row r="60" spans="1:17" s="35" customFormat="1" hidden="1" outlineLevel="1" x14ac:dyDescent="0.3">
      <c r="A60" s="34"/>
      <c r="B60" s="10" t="str">
        <f>CONCATENATE("          ","6279", " - ","GENERAL EXPENSE")</f>
        <v xml:space="preserve">          6279 - GENERAL EXPENSE</v>
      </c>
      <c r="C60" s="14"/>
      <c r="D60" s="2"/>
      <c r="E60" s="2">
        <v>1469.55</v>
      </c>
      <c r="F60" s="2"/>
      <c r="G60" s="2">
        <v>297.61</v>
      </c>
      <c r="H60" s="2"/>
      <c r="I60" s="2"/>
      <c r="J60" s="2"/>
      <c r="K60" s="2"/>
      <c r="L60" s="2">
        <v>600</v>
      </c>
      <c r="M60" s="2"/>
      <c r="N60" s="2"/>
      <c r="O60" s="2"/>
      <c r="P60" s="9"/>
      <c r="Q60" s="2">
        <f>SUM(OSRRefD21_8_0x)+IFERROR(SUM(OSRRefE21_8_0x),0)</f>
        <v>2367.16</v>
      </c>
    </row>
    <row r="61" spans="1:17" s="35" customFormat="1" collapsed="1" x14ac:dyDescent="0.3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5.22</v>
      </c>
      <c r="E61" s="1">
        <f>SUM(OSRRefD21_9x_1)</f>
        <v>5.21</v>
      </c>
      <c r="F61" s="1">
        <f>SUM(OSRRefD21_9x_2)</f>
        <v>5.21</v>
      </c>
      <c r="G61" s="1">
        <f>SUM(OSRRefD21_9x_3)</f>
        <v>5.21</v>
      </c>
      <c r="H61" s="1">
        <f>SUM(OSRRefD21_9x_4)</f>
        <v>5.21</v>
      </c>
      <c r="I61" s="1">
        <f>SUM(OSRRefD21_9x_5)</f>
        <v>5.21</v>
      </c>
      <c r="J61" s="1">
        <f>SUM(OSRRefE21_9x_0)</f>
        <v>10</v>
      </c>
      <c r="K61" s="1">
        <f>SUM(OSRRefE21_9x_1)</f>
        <v>10</v>
      </c>
      <c r="L61" s="1">
        <f>SUM(OSRRefE21_9x_2)</f>
        <v>10</v>
      </c>
      <c r="M61" s="1">
        <f>SUM(OSRRefE21_9x_3)</f>
        <v>10</v>
      </c>
      <c r="N61" s="1">
        <f>SUM(OSRRefE21_9x_4)</f>
        <v>10</v>
      </c>
      <c r="O61" s="1">
        <f>SUM(OSRRefE21_9x_5)</f>
        <v>10</v>
      </c>
      <c r="Q61" s="2">
        <f>SUM(OSRRefD20_9x)+IFERROR(SUM(OSRRefE20_9x),0)</f>
        <v>91.27000000000001</v>
      </c>
    </row>
    <row r="62" spans="1:17" s="35" customFormat="1" hidden="1" outlineLevel="1" x14ac:dyDescent="0.3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5.22</v>
      </c>
      <c r="E62" s="2">
        <v>5.21</v>
      </c>
      <c r="F62" s="2">
        <v>5.21</v>
      </c>
      <c r="G62" s="2">
        <v>5.21</v>
      </c>
      <c r="H62" s="2">
        <v>5.21</v>
      </c>
      <c r="I62" s="2">
        <v>5.21</v>
      </c>
      <c r="J62" s="2">
        <v>10</v>
      </c>
      <c r="K62" s="2">
        <v>10</v>
      </c>
      <c r="L62" s="2">
        <v>10</v>
      </c>
      <c r="M62" s="2">
        <v>10</v>
      </c>
      <c r="N62" s="2">
        <v>10</v>
      </c>
      <c r="O62" s="2">
        <v>10</v>
      </c>
      <c r="P62" s="9"/>
      <c r="Q62" s="2">
        <f>SUM(OSRRefD21_9_0x)+IFERROR(SUM(OSRRefE21_9_0x),0)</f>
        <v>91.27000000000001</v>
      </c>
    </row>
    <row r="63" spans="1:17" s="35" customFormat="1" collapsed="1" x14ac:dyDescent="0.3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3298.44</v>
      </c>
      <c r="F63" s="1">
        <f>SUM(OSRRefD21_10x_2)</f>
        <v>9259.68</v>
      </c>
      <c r="G63" s="1">
        <f>SUM(OSRRefD21_10x_3)</f>
        <v>22985.68</v>
      </c>
      <c r="H63" s="1">
        <f>SUM(OSRRefD21_10x_4)</f>
        <v>18379.11</v>
      </c>
      <c r="I63" s="1">
        <f>SUM(OSRRefD21_10x_5)</f>
        <v>13805.57</v>
      </c>
      <c r="J63" s="1">
        <f>SUM(OSRRefE21_10x_0)</f>
        <v>3802</v>
      </c>
      <c r="K63" s="1">
        <f>SUM(OSRRefE21_10x_1)</f>
        <v>9677</v>
      </c>
      <c r="L63" s="1">
        <f>SUM(OSRRefE21_10x_2)</f>
        <v>9331</v>
      </c>
      <c r="M63" s="1">
        <f>SUM(OSRRefE21_10x_3)</f>
        <v>9331</v>
      </c>
      <c r="N63" s="1">
        <f>SUM(OSRRefE21_10x_4)</f>
        <v>5184</v>
      </c>
      <c r="O63" s="1">
        <f>SUM(OSRRefE21_10x_5)</f>
        <v>0</v>
      </c>
      <c r="Q63" s="2">
        <f>SUM(OSRRefD20_10x)+IFERROR(SUM(OSRRefE20_10x),0)</f>
        <v>105053.48000000001</v>
      </c>
    </row>
    <row r="64" spans="1:17" s="35" customFormat="1" hidden="1" outlineLevel="1" x14ac:dyDescent="0.3">
      <c r="A64" s="34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3298.44</v>
      </c>
      <c r="F64" s="2">
        <v>9259.68</v>
      </c>
      <c r="G64" s="2">
        <v>22985.68</v>
      </c>
      <c r="H64" s="2">
        <v>18379.11</v>
      </c>
      <c r="I64" s="2">
        <v>13805.57</v>
      </c>
      <c r="J64" s="2">
        <v>3802</v>
      </c>
      <c r="K64" s="2">
        <v>9677</v>
      </c>
      <c r="L64" s="2">
        <v>9331</v>
      </c>
      <c r="M64" s="2">
        <v>9331</v>
      </c>
      <c r="N64" s="2">
        <v>5184</v>
      </c>
      <c r="O64" s="2"/>
      <c r="P64" s="9"/>
      <c r="Q64" s="2">
        <f>SUM(OSRRefD21_10_0x)+IFERROR(SUM(OSRRefE21_10_0x),0)</f>
        <v>105053.48000000001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71.86</v>
      </c>
      <c r="G65" s="1">
        <f>SUM(OSRRefD21_11x_3)</f>
        <v>690</v>
      </c>
      <c r="H65" s="1">
        <f>SUM(OSRRefD21_11x_4)</f>
        <v>0</v>
      </c>
      <c r="I65" s="1">
        <f>SUM(OSRRefD21_11x_5)</f>
        <v>74.900000000000006</v>
      </c>
      <c r="J65" s="1">
        <f>SUM(OSRRefE21_11x_0)</f>
        <v>1600</v>
      </c>
      <c r="K65" s="1">
        <f>SUM(OSRRefE21_11x_1)</f>
        <v>100</v>
      </c>
      <c r="L65" s="1">
        <f>SUM(OSRRefE21_11x_2)</f>
        <v>100</v>
      </c>
      <c r="M65" s="1">
        <f>SUM(OSRRefE21_11x_3)</f>
        <v>1600</v>
      </c>
      <c r="N65" s="1">
        <f>SUM(OSRRefE21_11x_4)</f>
        <v>100</v>
      </c>
      <c r="O65" s="1">
        <f>SUM(OSRRefE21_11x_5)</f>
        <v>100</v>
      </c>
      <c r="Q65" s="2">
        <f>SUM(OSRRefD20_11x)+IFERROR(SUM(OSRRefE20_11x),0)</f>
        <v>4436.76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71.86</v>
      </c>
      <c r="G66" s="2"/>
      <c r="H66" s="2"/>
      <c r="I66" s="2">
        <v>74.900000000000006</v>
      </c>
      <c r="J66" s="2">
        <v>1500</v>
      </c>
      <c r="K66" s="2"/>
      <c r="L66" s="2"/>
      <c r="M66" s="2">
        <v>1500</v>
      </c>
      <c r="N66" s="2"/>
      <c r="O66" s="2"/>
      <c r="P66" s="9"/>
      <c r="Q66" s="2">
        <f>SUM(OSRRefD21_11_0x)+IFERROR(SUM(OSRRefE21_11_0x),0)</f>
        <v>3146.76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/>
      <c r="F67" s="2"/>
      <c r="G67" s="2">
        <v>690</v>
      </c>
      <c r="H67" s="2"/>
      <c r="I67" s="2"/>
      <c r="J67" s="2">
        <v>100</v>
      </c>
      <c r="K67" s="2">
        <v>100</v>
      </c>
      <c r="L67" s="2">
        <v>100</v>
      </c>
      <c r="M67" s="2">
        <v>100</v>
      </c>
      <c r="N67" s="2">
        <v>100</v>
      </c>
      <c r="O67" s="2">
        <v>100</v>
      </c>
      <c r="P67" s="9"/>
      <c r="Q67" s="2">
        <f>SUM(OSRRefD21_11_1x)+IFERROR(SUM(OSRRefE21_11_1x),0)</f>
        <v>1290</v>
      </c>
    </row>
    <row r="68" spans="1:17" s="35" customFormat="1" collapsed="1" x14ac:dyDescent="0.3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2419.64</v>
      </c>
      <c r="E68" s="1">
        <f>SUM(OSRRefD21_12x_1)</f>
        <v>2142.9</v>
      </c>
      <c r="F68" s="1">
        <f>SUM(OSRRefD21_12x_2)</f>
        <v>1659.9</v>
      </c>
      <c r="G68" s="1">
        <f>SUM(OSRRefD21_12x_3)</f>
        <v>9903.91</v>
      </c>
      <c r="H68" s="1">
        <f>SUM(OSRRefD21_12x_4)</f>
        <v>6137.75</v>
      </c>
      <c r="I68" s="1">
        <f>SUM(OSRRefD21_12x_5)</f>
        <v>4776.87</v>
      </c>
      <c r="J68" s="1">
        <f>SUM(OSRRefE21_12x_0)</f>
        <v>7224</v>
      </c>
      <c r="K68" s="1">
        <f>SUM(OSRRefE21_12x_1)</f>
        <v>7224</v>
      </c>
      <c r="L68" s="1">
        <f>SUM(OSRRefE21_12x_2)</f>
        <v>7224</v>
      </c>
      <c r="M68" s="1">
        <f>SUM(OSRRefE21_12x_3)</f>
        <v>7224</v>
      </c>
      <c r="N68" s="1">
        <f>SUM(OSRRefE21_12x_4)</f>
        <v>7224</v>
      </c>
      <c r="O68" s="1">
        <f>SUM(OSRRefE21_12x_5)</f>
        <v>7224</v>
      </c>
      <c r="Q68" s="2">
        <f>SUM(OSRRefD20_12x)+IFERROR(SUM(OSRRefE20_12x),0)</f>
        <v>70384.97</v>
      </c>
    </row>
    <row r="69" spans="1:17" s="35" customFormat="1" hidden="1" outlineLevel="1" x14ac:dyDescent="0.3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669.64</v>
      </c>
      <c r="E69" s="2"/>
      <c r="F69" s="2">
        <v>1459.9</v>
      </c>
      <c r="G69" s="2">
        <v>729.95</v>
      </c>
      <c r="H69" s="2">
        <v>829.16</v>
      </c>
      <c r="I69" s="2"/>
      <c r="J69" s="2">
        <v>670</v>
      </c>
      <c r="K69" s="2">
        <v>670</v>
      </c>
      <c r="L69" s="2">
        <v>670</v>
      </c>
      <c r="M69" s="2">
        <v>670</v>
      </c>
      <c r="N69" s="2">
        <v>670</v>
      </c>
      <c r="O69" s="2">
        <v>670</v>
      </c>
      <c r="P69" s="9"/>
      <c r="Q69" s="2">
        <f>SUM(OSRRefD21_12_0x)+IFERROR(SUM(OSRRefE21_12_0x),0)</f>
        <v>7708.65</v>
      </c>
    </row>
    <row r="70" spans="1:17" s="35" customFormat="1" hidden="1" outlineLevel="1" x14ac:dyDescent="0.3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/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300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1750</v>
      </c>
      <c r="E71" s="2">
        <v>2142.9</v>
      </c>
      <c r="F71" s="2">
        <v>200</v>
      </c>
      <c r="G71" s="2">
        <v>4151.8599999999997</v>
      </c>
      <c r="H71" s="2">
        <v>4151.8599999999997</v>
      </c>
      <c r="I71" s="2">
        <v>4151.8599999999997</v>
      </c>
      <c r="J71" s="2">
        <v>4904</v>
      </c>
      <c r="K71" s="2">
        <v>4904</v>
      </c>
      <c r="L71" s="2">
        <v>4904</v>
      </c>
      <c r="M71" s="2">
        <v>4904</v>
      </c>
      <c r="N71" s="2">
        <v>4904</v>
      </c>
      <c r="O71" s="2">
        <v>4904</v>
      </c>
      <c r="P71" s="9"/>
      <c r="Q71" s="2">
        <f>SUM(OSRRefD21_12_2x)+IFERROR(SUM(OSRRefE21_12_2x),0)</f>
        <v>45972.479999999996</v>
      </c>
    </row>
    <row r="72" spans="1:17" s="35" customFormat="1" hidden="1" outlineLevel="1" x14ac:dyDescent="0.3">
      <c r="A72" s="34"/>
      <c r="B72" s="10" t="str">
        <f>CONCATENATE("          ","6286", " - ","LAUNDRY EXPENSE")</f>
        <v xml:space="preserve">          6286 - LAUNDRY EXPENSE</v>
      </c>
      <c r="C72" s="14"/>
      <c r="D72" s="2"/>
      <c r="E72" s="2"/>
      <c r="F72" s="2"/>
      <c r="G72" s="2">
        <v>5022.1000000000004</v>
      </c>
      <c r="H72" s="2">
        <v>1156.73</v>
      </c>
      <c r="I72" s="2">
        <v>625.01</v>
      </c>
      <c r="J72" s="2">
        <v>1600</v>
      </c>
      <c r="K72" s="2">
        <v>1600</v>
      </c>
      <c r="L72" s="2">
        <v>1600</v>
      </c>
      <c r="M72" s="2">
        <v>1600</v>
      </c>
      <c r="N72" s="2">
        <v>1600</v>
      </c>
      <c r="O72" s="2">
        <v>1600</v>
      </c>
      <c r="P72" s="9"/>
      <c r="Q72" s="2">
        <f>SUM(OSRRefD21_12_3x)+IFERROR(SUM(OSRRefE21_12_3x),0)</f>
        <v>16403.84</v>
      </c>
    </row>
    <row r="73" spans="1:17" s="35" customFormat="1" collapsed="1" x14ac:dyDescent="0.3">
      <c r="A73" s="34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4.5</v>
      </c>
      <c r="E73" s="1">
        <f>SUM(OSRRefD21_13x_1)</f>
        <v>9644.1500000000015</v>
      </c>
      <c r="F73" s="1">
        <f>SUM(OSRRefD21_13x_2)</f>
        <v>17789.320000000003</v>
      </c>
      <c r="G73" s="1">
        <f>SUM(OSRRefD21_13x_3)</f>
        <v>22941.589999999997</v>
      </c>
      <c r="H73" s="1">
        <f>SUM(OSRRefD21_13x_4)</f>
        <v>5386.119999999999</v>
      </c>
      <c r="I73" s="1">
        <f>SUM(OSRRefD21_13x_5)</f>
        <v>4479.63</v>
      </c>
      <c r="J73" s="1">
        <f>SUM(OSRRefE21_13x_0)</f>
        <v>4896</v>
      </c>
      <c r="K73" s="1">
        <f>SUM(OSRRefE21_13x_1)</f>
        <v>4696</v>
      </c>
      <c r="L73" s="1">
        <f>SUM(OSRRefE21_13x_2)</f>
        <v>4446</v>
      </c>
      <c r="M73" s="1">
        <f>SUM(OSRRefE21_13x_3)</f>
        <v>4446</v>
      </c>
      <c r="N73" s="1">
        <f>SUM(OSRRefE21_13x_4)</f>
        <v>4446</v>
      </c>
      <c r="O73" s="1">
        <f>SUM(OSRRefE21_13x_5)</f>
        <v>444</v>
      </c>
      <c r="Q73" s="2">
        <f>SUM(OSRRefD20_13x)+IFERROR(SUM(OSRRefE20_13x),0)</f>
        <v>83619.31</v>
      </c>
    </row>
    <row r="74" spans="1:17" s="35" customFormat="1" hidden="1" outlineLevel="1" x14ac:dyDescent="0.3">
      <c r="A74" s="34"/>
      <c r="B74" s="10" t="str">
        <f>CONCATENATE("          ","6237", " - ","JANITORIAL SUPPLIES")</f>
        <v xml:space="preserve">          6237 - JANITORIAL SUPPLIES</v>
      </c>
      <c r="C74" s="14"/>
      <c r="D74" s="2"/>
      <c r="E74" s="2">
        <v>1526.8</v>
      </c>
      <c r="F74" s="2">
        <v>3356.51</v>
      </c>
      <c r="G74" s="2">
        <v>1573.08</v>
      </c>
      <c r="H74" s="2">
        <v>749.03</v>
      </c>
      <c r="I74" s="2">
        <v>1617.46</v>
      </c>
      <c r="J74" s="2">
        <v>2000</v>
      </c>
      <c r="K74" s="2">
        <v>2000</v>
      </c>
      <c r="L74" s="2">
        <v>2000</v>
      </c>
      <c r="M74" s="2">
        <v>2000</v>
      </c>
      <c r="N74" s="2">
        <v>2000</v>
      </c>
      <c r="O74" s="2">
        <v>0</v>
      </c>
      <c r="P74" s="9"/>
      <c r="Q74" s="2">
        <f>SUM(OSRRefD21_13_0x)+IFERROR(SUM(OSRRefE21_13_0x),0)</f>
        <v>18822.88</v>
      </c>
    </row>
    <row r="75" spans="1:17" s="35" customFormat="1" hidden="1" outlineLevel="1" x14ac:dyDescent="0.3">
      <c r="A75" s="34"/>
      <c r="B75" s="10" t="str">
        <f>CONCATENATE("          ","6239", " - ","KITCHEN SUPPLIES")</f>
        <v xml:space="preserve">          6239 - KITCHEN SUPPLIES</v>
      </c>
      <c r="C75" s="14"/>
      <c r="D75" s="2"/>
      <c r="E75" s="2">
        <v>1433.83</v>
      </c>
      <c r="F75" s="2">
        <v>4469.83</v>
      </c>
      <c r="G75" s="2">
        <v>2798.69</v>
      </c>
      <c r="H75" s="2">
        <v>371.56</v>
      </c>
      <c r="I75" s="2">
        <v>22.84</v>
      </c>
      <c r="J75" s="2">
        <v>450</v>
      </c>
      <c r="K75" s="2">
        <v>250</v>
      </c>
      <c r="L75" s="2"/>
      <c r="M75" s="2"/>
      <c r="N75" s="2"/>
      <c r="O75" s="2"/>
      <c r="P75" s="9"/>
      <c r="Q75" s="2">
        <f>SUM(OSRRefD21_13_1x)+IFERROR(SUM(OSRRefE21_13_1x),0)</f>
        <v>9796.75</v>
      </c>
    </row>
    <row r="76" spans="1:17" s="35" customFormat="1" hidden="1" outlineLevel="1" x14ac:dyDescent="0.3">
      <c r="A76" s="34"/>
      <c r="B76" s="10" t="str">
        <f>CONCATENATE("          ","6241", " - ","OFFICE EXPENSE")</f>
        <v xml:space="preserve">          6241 - OFFICE EXPENSE</v>
      </c>
      <c r="C76" s="14"/>
      <c r="D76" s="2">
        <v>4.5</v>
      </c>
      <c r="E76" s="2">
        <v>1739.75</v>
      </c>
      <c r="F76" s="2">
        <v>1123.04</v>
      </c>
      <c r="G76" s="2">
        <v>1729.89</v>
      </c>
      <c r="H76" s="2">
        <v>92.05</v>
      </c>
      <c r="I76" s="2">
        <v>84.89</v>
      </c>
      <c r="J76" s="2">
        <v>125</v>
      </c>
      <c r="K76" s="2">
        <v>125</v>
      </c>
      <c r="L76" s="2">
        <v>125</v>
      </c>
      <c r="M76" s="2">
        <v>125</v>
      </c>
      <c r="N76" s="2">
        <v>125</v>
      </c>
      <c r="O76" s="2">
        <v>125</v>
      </c>
      <c r="P76" s="9"/>
      <c r="Q76" s="2">
        <f>SUM(OSRRefD21_13_2x)+IFERROR(SUM(OSRRefE21_13_2x),0)</f>
        <v>5524.1200000000008</v>
      </c>
    </row>
    <row r="77" spans="1:17" s="35" customFormat="1" hidden="1" outlineLevel="1" x14ac:dyDescent="0.3">
      <c r="A77" s="34"/>
      <c r="B77" s="10" t="str">
        <f>CONCATENATE("          ","6243", " - ","PAPER SUPPLIES")</f>
        <v xml:space="preserve">          6243 - PAPER SUPPLIES</v>
      </c>
      <c r="C77" s="14"/>
      <c r="D77" s="2"/>
      <c r="E77" s="2">
        <v>4943.7700000000004</v>
      </c>
      <c r="F77" s="2">
        <v>8712.6</v>
      </c>
      <c r="G77" s="2">
        <v>14888.91</v>
      </c>
      <c r="H77" s="2">
        <v>4173.4799999999996</v>
      </c>
      <c r="I77" s="2">
        <v>2309.7600000000002</v>
      </c>
      <c r="J77" s="2">
        <v>2000</v>
      </c>
      <c r="K77" s="2">
        <v>2000</v>
      </c>
      <c r="L77" s="2">
        <v>2000</v>
      </c>
      <c r="M77" s="2">
        <v>2000</v>
      </c>
      <c r="N77" s="2">
        <v>2000</v>
      </c>
      <c r="O77" s="2"/>
      <c r="P77" s="9"/>
      <c r="Q77" s="2">
        <f>SUM(OSRRefD21_13_3x)+IFERROR(SUM(OSRRefE21_13_3x),0)</f>
        <v>45028.52</v>
      </c>
    </row>
    <row r="78" spans="1:17" s="35" customFormat="1" hidden="1" outlineLevel="1" x14ac:dyDescent="0.3">
      <c r="A78" s="34"/>
      <c r="B78" s="10" t="str">
        <f>CONCATENATE("          ","6244", " - ","SAFETY SUPPLY EXPENSE")</f>
        <v xml:space="preserve">          6244 - SAFETY SUPPLY EXPENSE</v>
      </c>
      <c r="C78" s="14"/>
      <c r="D78" s="2"/>
      <c r="E78" s="2"/>
      <c r="F78" s="2"/>
      <c r="G78" s="2"/>
      <c r="H78" s="2"/>
      <c r="I78" s="2"/>
      <c r="J78" s="2">
        <v>125</v>
      </c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SUM(OSRRefD21_13_4x)+IFERROR(SUM(OSRRefE21_13_4x),0)</f>
        <v>750</v>
      </c>
    </row>
    <row r="79" spans="1:17" s="35" customFormat="1" hidden="1" outlineLevel="1" x14ac:dyDescent="0.3">
      <c r="A79" s="34"/>
      <c r="B79" s="10" t="str">
        <f>CONCATENATE("          ","6247", " - ","STORE SUPPLIES")</f>
        <v xml:space="preserve">          6247 - STORE SUPPLIES</v>
      </c>
      <c r="C79" s="14"/>
      <c r="D79" s="2"/>
      <c r="E79" s="2"/>
      <c r="F79" s="2">
        <v>127.34</v>
      </c>
      <c r="G79" s="2">
        <v>80.599999999999994</v>
      </c>
      <c r="H79" s="2"/>
      <c r="I79" s="2">
        <v>444.68</v>
      </c>
      <c r="J79" s="2"/>
      <c r="K79" s="2"/>
      <c r="L79" s="2"/>
      <c r="M79" s="2"/>
      <c r="N79" s="2"/>
      <c r="O79" s="2"/>
      <c r="P79" s="9"/>
      <c r="Q79" s="2">
        <f>SUM(OSRRefD21_13_5x)+IFERROR(SUM(OSRRefE21_13_5x),0)</f>
        <v>652.62</v>
      </c>
    </row>
    <row r="80" spans="1:17" s="35" customFormat="1" hidden="1" outlineLevel="1" x14ac:dyDescent="0.3">
      <c r="A80" s="34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>
        <v>1870.42</v>
      </c>
      <c r="H80" s="2"/>
      <c r="I80" s="2"/>
      <c r="J80" s="2">
        <v>196</v>
      </c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SUM(OSRRefD21_13_6x)+IFERROR(SUM(OSRRefE21_13_6x),0)</f>
        <v>3044.42</v>
      </c>
    </row>
    <row r="81" spans="1:17" s="35" customFormat="1" collapsed="1" x14ac:dyDescent="0.3">
      <c r="A81" s="34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60</v>
      </c>
      <c r="E81" s="1">
        <f>SUM(OSRRefD21_14x_1)</f>
        <v>75</v>
      </c>
      <c r="F81" s="1">
        <f>SUM(OSRRefD21_14x_2)</f>
        <v>237.85</v>
      </c>
      <c r="G81" s="1">
        <f>SUM(OSRRefD21_14x_3)</f>
        <v>251</v>
      </c>
      <c r="H81" s="1">
        <f>SUM(OSRRefD21_14x_4)</f>
        <v>147</v>
      </c>
      <c r="I81" s="1">
        <f>SUM(OSRRefD21_14x_5)</f>
        <v>36</v>
      </c>
      <c r="J81" s="1">
        <f>SUM(OSRRefE21_14x_0)</f>
        <v>125</v>
      </c>
      <c r="K81" s="1">
        <f>SUM(OSRRefE21_14x_1)</f>
        <v>125</v>
      </c>
      <c r="L81" s="1">
        <f>SUM(OSRRefE21_14x_2)</f>
        <v>125</v>
      </c>
      <c r="M81" s="1">
        <f>SUM(OSRRefE21_14x_3)</f>
        <v>125</v>
      </c>
      <c r="N81" s="1">
        <f>SUM(OSRRefE21_14x_4)</f>
        <v>125</v>
      </c>
      <c r="O81" s="1">
        <f>SUM(OSRRefE21_14x_5)</f>
        <v>125</v>
      </c>
      <c r="Q81" s="2">
        <f>SUM(OSRRefD20_14x)+IFERROR(SUM(OSRRefE20_14x),0)</f>
        <v>1556.85</v>
      </c>
    </row>
    <row r="82" spans="1:17" s="35" customFormat="1" hidden="1" outlineLevel="1" x14ac:dyDescent="0.3">
      <c r="A82" s="34"/>
      <c r="B82" s="10" t="str">
        <f>CONCATENATE("          ","6309", " - ","TELEPHONE")</f>
        <v xml:space="preserve">          6309 - TELEPHONE</v>
      </c>
      <c r="C82" s="14"/>
      <c r="D82" s="2">
        <v>60</v>
      </c>
      <c r="E82" s="2">
        <v>75</v>
      </c>
      <c r="F82" s="2">
        <v>237.85</v>
      </c>
      <c r="G82" s="2">
        <v>251</v>
      </c>
      <c r="H82" s="2">
        <v>147</v>
      </c>
      <c r="I82" s="2">
        <v>36</v>
      </c>
      <c r="J82" s="2">
        <v>125</v>
      </c>
      <c r="K82" s="2">
        <v>125</v>
      </c>
      <c r="L82" s="2">
        <v>125</v>
      </c>
      <c r="M82" s="2">
        <v>125</v>
      </c>
      <c r="N82" s="2">
        <v>125</v>
      </c>
      <c r="O82" s="2">
        <v>125</v>
      </c>
      <c r="P82" s="9"/>
      <c r="Q82" s="2">
        <f>SUM(OSRRefD21_14_0x)+IFERROR(SUM(OSRRefE21_14_0x),0)</f>
        <v>1556.85</v>
      </c>
    </row>
    <row r="83" spans="1:17" s="35" customFormat="1" collapsed="1" x14ac:dyDescent="0.3">
      <c r="A83" s="34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SUM(OSRRefD21_15x_5)</f>
        <v>0</v>
      </c>
      <c r="J83" s="1">
        <f>SUM(OSRRefE21_15x_0)</f>
        <v>185</v>
      </c>
      <c r="K83" s="1">
        <f>SUM(OSRRefE21_15x_1)</f>
        <v>165</v>
      </c>
      <c r="L83" s="1">
        <f>SUM(OSRRefE21_15x_2)</f>
        <v>165</v>
      </c>
      <c r="M83" s="1">
        <f>SUM(OSRRefE21_15x_3)</f>
        <v>165</v>
      </c>
      <c r="N83" s="1">
        <f>SUM(OSRRefE21_15x_4)</f>
        <v>165</v>
      </c>
      <c r="O83" s="1">
        <f>SUM(OSRRefE21_15x_5)</f>
        <v>165</v>
      </c>
      <c r="Q83" s="2">
        <f>SUM(OSRRefD20_15x)+IFERROR(SUM(OSRRefE20_15x),0)</f>
        <v>1010</v>
      </c>
    </row>
    <row r="84" spans="1:17" s="35" customFormat="1" hidden="1" outlineLevel="1" x14ac:dyDescent="0.3">
      <c r="A84" s="34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185</v>
      </c>
      <c r="K84" s="2">
        <v>165</v>
      </c>
      <c r="L84" s="2">
        <v>165</v>
      </c>
      <c r="M84" s="2">
        <v>165</v>
      </c>
      <c r="N84" s="2">
        <v>165</v>
      </c>
      <c r="O84" s="2">
        <v>165</v>
      </c>
      <c r="P84" s="9"/>
      <c r="Q84" s="2">
        <f>SUM(OSRRefD21_15_0x)+IFERROR(SUM(OSRRefE21_15_0x),0)</f>
        <v>1010</v>
      </c>
    </row>
    <row r="85" spans="1:17" s="35" customFormat="1" collapsed="1" x14ac:dyDescent="0.3">
      <c r="A85" s="34"/>
      <c r="B85" s="14" t="str">
        <f>CONCATENATE("     ","Travel                                            ")</f>
        <v xml:space="preserve">     Travel  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104.02</v>
      </c>
      <c r="G85" s="1">
        <f>SUM(OSRRefD21_16x_3)</f>
        <v>0</v>
      </c>
      <c r="H85" s="1">
        <f>SUM(OSRRefD21_16x_4)</f>
        <v>0</v>
      </c>
      <c r="I85" s="1">
        <f>SUM(OSRRefD21_16x_5)</f>
        <v>0</v>
      </c>
      <c r="J85" s="1">
        <f>SUM(OSRRefE21_16x_0)</f>
        <v>0</v>
      </c>
      <c r="K85" s="1">
        <f>SUM(OSRRefE21_16x_1)</f>
        <v>0</v>
      </c>
      <c r="L85" s="1">
        <f>SUM(OSRRefE21_16x_2)</f>
        <v>0</v>
      </c>
      <c r="M85" s="1">
        <f>SUM(OSRRefE21_16x_3)</f>
        <v>0</v>
      </c>
      <c r="N85" s="1">
        <f>SUM(OSRRefE21_16x_4)</f>
        <v>0</v>
      </c>
      <c r="O85" s="1">
        <f>SUM(OSRRefE21_16x_5)</f>
        <v>0</v>
      </c>
      <c r="Q85" s="2">
        <f>SUM(OSRRefD20_16x)+IFERROR(SUM(OSRRefE20_16x),0)</f>
        <v>104.02</v>
      </c>
    </row>
    <row r="86" spans="1:17" s="35" customFormat="1" hidden="1" outlineLevel="1" x14ac:dyDescent="0.3">
      <c r="A86" s="34"/>
      <c r="B86" s="10" t="str">
        <f>CONCATENATE("          ","6298", " - ","VEHICLE MILEAGE")</f>
        <v xml:space="preserve">          6298 - VEHICLE MILEAGE</v>
      </c>
      <c r="C86" s="14"/>
      <c r="D86" s="2"/>
      <c r="E86" s="2"/>
      <c r="F86" s="2">
        <v>104.02</v>
      </c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104.02</v>
      </c>
    </row>
    <row r="87" spans="1:17" s="29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I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>
        <f t="shared" si="5"/>
        <v>0</v>
      </c>
      <c r="I88" s="3">
        <f t="shared" si="5"/>
        <v>0</v>
      </c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6">IFERROR(+D21-D24+D88, 0)</f>
        <v>-40764.729999999996</v>
      </c>
      <c r="E90" s="7">
        <f t="shared" si="6"/>
        <v>-64516.12000000001</v>
      </c>
      <c r="F90" s="7">
        <f t="shared" si="6"/>
        <v>-16068.310000000027</v>
      </c>
      <c r="G90" s="7">
        <f t="shared" si="6"/>
        <v>17764.010000000038</v>
      </c>
      <c r="H90" s="7">
        <f t="shared" si="6"/>
        <v>68453.559999999983</v>
      </c>
      <c r="I90" s="7">
        <f t="shared" si="6"/>
        <v>29309.410000000033</v>
      </c>
      <c r="J90" s="7">
        <f t="shared" si="6"/>
        <v>-83858.746746153862</v>
      </c>
      <c r="K90" s="7">
        <f t="shared" si="6"/>
        <v>-36896.502996923111</v>
      </c>
      <c r="L90" s="7">
        <f t="shared" si="6"/>
        <v>-40184.502996923111</v>
      </c>
      <c r="M90" s="7">
        <f t="shared" si="6"/>
        <v>-54944.234746153874</v>
      </c>
      <c r="N90" s="7">
        <f t="shared" si="6"/>
        <v>-50787.21499692311</v>
      </c>
      <c r="O90" s="7">
        <f t="shared" si="6"/>
        <v>-67671.92699692311</v>
      </c>
      <c r="Q90" s="7">
        <f>IFERROR(+Q21-Q24+Q88, 0)</f>
        <v>-340165.30948000052</v>
      </c>
    </row>
    <row r="91" spans="1:17" s="6" customFormat="1" x14ac:dyDescent="0.3">
      <c r="B91" s="16"/>
      <c r="C91" s="16"/>
      <c r="D91" s="4">
        <f t="shared" ref="D91:O91" si="7">IFERROR(D90/D10, 0)</f>
        <v>0</v>
      </c>
      <c r="E91" s="4">
        <f t="shared" si="7"/>
        <v>-1.5400295707279397</v>
      </c>
      <c r="F91" s="4">
        <f t="shared" si="7"/>
        <v>-9.9053688122152206E-2</v>
      </c>
      <c r="G91" s="4">
        <f t="shared" si="7"/>
        <v>6.1454486844426448E-2</v>
      </c>
      <c r="H91" s="4">
        <f t="shared" si="7"/>
        <v>0.2961695308239336</v>
      </c>
      <c r="I91" s="4">
        <f t="shared" si="7"/>
        <v>0.16882057876154066</v>
      </c>
      <c r="J91" s="4">
        <f t="shared" si="7"/>
        <v>-1.7647042665436419</v>
      </c>
      <c r="K91" s="4">
        <f t="shared" si="7"/>
        <v>-0.3050306134004887</v>
      </c>
      <c r="L91" s="4">
        <f t="shared" si="7"/>
        <v>-0.34451734393795536</v>
      </c>
      <c r="M91" s="4">
        <f t="shared" si="7"/>
        <v>-0.47105825399651813</v>
      </c>
      <c r="N91" s="4">
        <f t="shared" si="7"/>
        <v>-0.78375331785375169</v>
      </c>
      <c r="O91" s="4">
        <f t="shared" si="7"/>
        <v>0</v>
      </c>
      <c r="P91" s="18"/>
      <c r="Q91" s="4">
        <f>IFERROR(Q90/Q10, 0)</f>
        <v>-0.24930160361325177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6260.17</v>
      </c>
      <c r="F93" s="3">
        <v>19003.79</v>
      </c>
      <c r="G93" s="3">
        <v>31742.48</v>
      </c>
      <c r="H93" s="3">
        <v>29266.22</v>
      </c>
      <c r="I93" s="3">
        <v>21809.85</v>
      </c>
      <c r="J93" s="3">
        <v>3934</v>
      </c>
      <c r="K93" s="3">
        <v>13167</v>
      </c>
      <c r="L93" s="3">
        <v>13901</v>
      </c>
      <c r="M93" s="3">
        <v>15296</v>
      </c>
      <c r="N93" s="3">
        <v>8872</v>
      </c>
      <c r="O93" s="3">
        <v>-10044</v>
      </c>
      <c r="Q93" s="2">
        <f>SUM(OSRRefD28_0x)+IFERROR(SUM(OSRRefE28_0x),0)</f>
        <v>153208.51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8">IFERROR(+D90-D93, 0)</f>
        <v>-40764.729999999996</v>
      </c>
      <c r="E95" s="8">
        <f t="shared" si="8"/>
        <v>-70776.290000000008</v>
      </c>
      <c r="F95" s="8">
        <f t="shared" si="8"/>
        <v>-35072.100000000028</v>
      </c>
      <c r="G95" s="8">
        <f t="shared" si="8"/>
        <v>-13978.469999999961</v>
      </c>
      <c r="H95" s="8">
        <f t="shared" si="8"/>
        <v>39187.339999999982</v>
      </c>
      <c r="I95" s="8">
        <f t="shared" si="8"/>
        <v>7499.5600000000341</v>
      </c>
      <c r="J95" s="8">
        <f t="shared" si="8"/>
        <v>-87792.746746153862</v>
      </c>
      <c r="K95" s="8">
        <f t="shared" si="8"/>
        <v>-50063.502996923111</v>
      </c>
      <c r="L95" s="8">
        <f t="shared" si="8"/>
        <v>-54085.502996923111</v>
      </c>
      <c r="M95" s="8">
        <f t="shared" si="8"/>
        <v>-70240.234746153874</v>
      </c>
      <c r="N95" s="8">
        <f t="shared" si="8"/>
        <v>-59659.21499692311</v>
      </c>
      <c r="O95" s="8">
        <f t="shared" si="8"/>
        <v>-57627.92699692311</v>
      </c>
      <c r="Q95" s="8">
        <f>IFERROR(+Q90-Q93, 0)</f>
        <v>-493373.81948000053</v>
      </c>
    </row>
    <row r="96" spans="1:17" ht="15" thickTop="1" x14ac:dyDescent="0.3">
      <c r="A96" s="5"/>
      <c r="B96" s="5"/>
      <c r="C96" s="5"/>
      <c r="D96" s="4">
        <f t="shared" ref="D96:O96" si="9">IFERROR(D95/D10, 0)</f>
        <v>0</v>
      </c>
      <c r="E96" s="4">
        <f t="shared" si="9"/>
        <v>-1.6894627188742311</v>
      </c>
      <c r="F96" s="4">
        <f t="shared" si="9"/>
        <v>-0.21620325069586854</v>
      </c>
      <c r="G96" s="4">
        <f t="shared" si="9"/>
        <v>-4.8358433750048863E-2</v>
      </c>
      <c r="H96" s="4">
        <f t="shared" si="9"/>
        <v>0.16954700532796196</v>
      </c>
      <c r="I96" s="4">
        <f t="shared" si="9"/>
        <v>4.3197050355394541E-2</v>
      </c>
      <c r="J96" s="4">
        <f t="shared" si="9"/>
        <v>-1.8474904618298371</v>
      </c>
      <c r="K96" s="4">
        <f t="shared" si="9"/>
        <v>-0.41388478006715534</v>
      </c>
      <c r="L96" s="4">
        <f t="shared" si="9"/>
        <v>-0.46369601334810623</v>
      </c>
      <c r="M96" s="4">
        <f t="shared" si="9"/>
        <v>-0.60219679994987885</v>
      </c>
      <c r="N96" s="4">
        <f t="shared" si="9"/>
        <v>-0.92066689810066527</v>
      </c>
      <c r="O96" s="4">
        <f t="shared" si="9"/>
        <v>0</v>
      </c>
      <c r="P96" s="18"/>
      <c r="Q96" s="4">
        <f>IFERROR(Q95/Q10, 0)</f>
        <v>-0.36158562013623158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10">IFERROR(SUM(D95:D98), 0)</f>
        <v>-40764.729999999996</v>
      </c>
      <c r="E99" s="8">
        <f t="shared" si="10"/>
        <v>-70777.979462718882</v>
      </c>
      <c r="F99" s="8">
        <f t="shared" si="10"/>
        <v>-35072.316203250724</v>
      </c>
      <c r="G99" s="8">
        <f t="shared" si="10"/>
        <v>-13978.518358433712</v>
      </c>
      <c r="H99" s="8">
        <f t="shared" si="10"/>
        <v>39187.509547005313</v>
      </c>
      <c r="I99" s="8">
        <f t="shared" si="10"/>
        <v>7499.6031970503891</v>
      </c>
      <c r="J99" s="8">
        <f t="shared" si="10"/>
        <v>-87794.594236615696</v>
      </c>
      <c r="K99" s="8">
        <f t="shared" si="10"/>
        <v>-50063.916881703175</v>
      </c>
      <c r="L99" s="8">
        <f t="shared" si="10"/>
        <v>-54085.966692936461</v>
      </c>
      <c r="M99" s="8">
        <f t="shared" si="10"/>
        <v>-70240.836942953829</v>
      </c>
      <c r="N99" s="8">
        <f t="shared" si="10"/>
        <v>-59660.135663821209</v>
      </c>
      <c r="O99" s="8">
        <f t="shared" si="10"/>
        <v>-57627.92699692311</v>
      </c>
      <c r="Q99" s="8">
        <f>IFERROR(SUM(Q95:Q98), 0)</f>
        <v>-493374.18106562068</v>
      </c>
    </row>
    <row r="100" spans="1:17" ht="15" thickTop="1" x14ac:dyDescent="0.3">
      <c r="A100" s="5"/>
      <c r="C100" s="5"/>
      <c r="D100" s="4">
        <f t="shared" ref="D100:O100" si="11">IFERROR(D99/D10, 0)</f>
        <v>0</v>
      </c>
      <c r="E100" s="4">
        <f t="shared" si="11"/>
        <v>-1.6895030471293355</v>
      </c>
      <c r="F100" s="4">
        <f t="shared" si="11"/>
        <v>-0.21620458348876123</v>
      </c>
      <c r="G100" s="4">
        <f t="shared" si="11"/>
        <v>-4.8358601045762541E-2</v>
      </c>
      <c r="H100" s="4">
        <f t="shared" si="11"/>
        <v>0.16954773888596861</v>
      </c>
      <c r="I100" s="4">
        <f t="shared" si="11"/>
        <v>4.31972991680128E-2</v>
      </c>
      <c r="J100" s="4">
        <f t="shared" si="11"/>
        <v>-1.8475293399961215</v>
      </c>
      <c r="K100" s="4">
        <f t="shared" si="11"/>
        <v>-0.4138882017336572</v>
      </c>
      <c r="L100" s="4">
        <f t="shared" si="11"/>
        <v>-0.4636999887940369</v>
      </c>
      <c r="M100" s="4">
        <f t="shared" si="11"/>
        <v>-0.60220196281681948</v>
      </c>
      <c r="N100" s="4">
        <f t="shared" si="11"/>
        <v>-0.92068110592316676</v>
      </c>
      <c r="O100" s="4">
        <f t="shared" si="11"/>
        <v>0</v>
      </c>
      <c r="P100" s="18"/>
      <c r="Q100" s="4">
        <f>IFERROR(Q99/Q10, 0)</f>
        <v>-0.36158588513643131</v>
      </c>
    </row>
    <row r="101" spans="1:17" x14ac:dyDescent="0.3">
      <c r="A101" s="5"/>
      <c r="B101" s="28">
        <v>44575.850692245367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26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">
        <v>104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SUM(OSRRefD11x_4)</f>
        <v>16197</v>
      </c>
      <c r="I10" s="3">
        <f>SUM(OSRRefD11x_5)</f>
        <v>-14996</v>
      </c>
      <c r="J10" s="3">
        <f>SUM(OSRRefE11x_0)</f>
        <v>41475</v>
      </c>
      <c r="K10" s="3">
        <f>SUM(OSRRefE11x_1)</f>
        <v>35816</v>
      </c>
      <c r="L10" s="3">
        <f>SUM(OSRRefE11x_2)</f>
        <v>39157</v>
      </c>
      <c r="M10" s="3">
        <f>SUM(OSRRefE11x_3)</f>
        <v>42444</v>
      </c>
      <c r="N10" s="3">
        <f>SUM(OSRRefE11x_4)</f>
        <v>34385</v>
      </c>
      <c r="O10" s="3">
        <f>SUM(OSRRefE11x_5)</f>
        <v>39764</v>
      </c>
      <c r="P10" s="24"/>
      <c r="Q10" s="3">
        <f>SUM(OSRRefG11x)</f>
        <v>522589</v>
      </c>
      <c r="R10" s="24"/>
    </row>
    <row r="11" spans="1:18" s="9" customFormat="1" hidden="1" outlineLevel="1" x14ac:dyDescent="0.3">
      <c r="A11" s="23"/>
      <c r="B11" s="10" t="str">
        <f>CONCATENATE("          ","4100", " - ","NON-TAXABLE SALES")</f>
        <v xml:space="preserve">          4100 - NON-TAXABLE SALES</v>
      </c>
      <c r="C11" s="22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f>--16197</f>
        <v>16197</v>
      </c>
      <c r="I11" s="2">
        <f>-14996</f>
        <v>-14996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522589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3"/>
      <c r="B13" s="16" t="s">
        <v>218</v>
      </c>
      <c r="C13" s="22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35077</v>
      </c>
      <c r="H15" s="7">
        <f t="shared" si="1"/>
        <v>16197</v>
      </c>
      <c r="I15" s="7">
        <f t="shared" si="1"/>
        <v>-14996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522589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SUM(OSRRefD20x_3)</f>
        <v>37178.060000000005</v>
      </c>
      <c r="H18" s="12">
        <f>SUM(OSRRefD20x_4)</f>
        <v>16817.129999999997</v>
      </c>
      <c r="I18" s="12">
        <f>SUM(OSRRefD20x_5)</f>
        <v>16374.92</v>
      </c>
      <c r="J18" s="12">
        <f>SUM(OSRRefE20x_0)</f>
        <v>39635.934401472121</v>
      </c>
      <c r="K18" s="12">
        <f>SUM(OSRRefE20x_1)</f>
        <v>34555.098654177687</v>
      </c>
      <c r="L18" s="12">
        <f>SUM(OSRRefE20x_2)</f>
        <v>37555.098654177687</v>
      </c>
      <c r="M18" s="12">
        <f>SUM(OSRRefE20x_3)</f>
        <v>40506.40276147212</v>
      </c>
      <c r="N18" s="12">
        <f>SUM(OSRRefE20x_4)</f>
        <v>33270.35652917769</v>
      </c>
      <c r="O18" s="12">
        <f>SUM(OSRRefE20x_5)</f>
        <v>31815.376569177686</v>
      </c>
      <c r="Q18" s="12">
        <f>SUM(OSRRefG20x)</f>
        <v>476415.16756965499</v>
      </c>
    </row>
    <row r="19" spans="1:17" s="35" customFormat="1" collapsed="1" x14ac:dyDescent="0.3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SUM(OSRRefD21_0x_4)</f>
        <v>3647.92</v>
      </c>
      <c r="I19" s="1">
        <f>SUM(OSRRefD21_0x_5)</f>
        <v>3619.5699999999997</v>
      </c>
      <c r="J19" s="1">
        <f>SUM(OSRRefE21_0x_0)</f>
        <v>3880.1365985875027</v>
      </c>
      <c r="K19" s="1">
        <f>SUM(OSRRefE21_0x_1)</f>
        <v>3352.8104118699998</v>
      </c>
      <c r="L19" s="1">
        <f>SUM(OSRRefE21_0x_2)</f>
        <v>3352.8104118699998</v>
      </c>
      <c r="M19" s="1">
        <f>SUM(OSRRefE21_0x_3)</f>
        <v>3889.6049585875021</v>
      </c>
      <c r="N19" s="1">
        <f>SUM(OSRRefE21_0x_4)</f>
        <v>3294.3182868699996</v>
      </c>
      <c r="O19" s="1">
        <f>SUM(OSRRefE21_0x_5)</f>
        <v>3801.3383268699977</v>
      </c>
      <c r="Q19" s="2">
        <f>SUM(OSRRefD20_0x)+IFERROR(SUM(OSRRefE20_0x),0)</f>
        <v>45063.838994655001</v>
      </c>
    </row>
    <row r="20" spans="1:17" s="35" customFormat="1" hidden="1" outlineLevel="1" x14ac:dyDescent="0.3">
      <c r="A20" s="34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900.33</v>
      </c>
      <c r="I20" s="2">
        <v>909.69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11635.714475204997</v>
      </c>
    </row>
    <row r="21" spans="1:17" s="35" customFormat="1" hidden="1" outlineLevel="1" x14ac:dyDescent="0.3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156.38</v>
      </c>
      <c r="I21" s="2">
        <v>137.25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2954.7929765999997</v>
      </c>
    </row>
    <row r="22" spans="1:17" s="35" customFormat="1" hidden="1" outlineLevel="1" x14ac:dyDescent="0.3">
      <c r="A22" s="34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1054.3499999999999</v>
      </c>
      <c r="I22" s="2">
        <v>1054.3499999999999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12461.1</v>
      </c>
    </row>
    <row r="23" spans="1:17" s="35" customFormat="1" hidden="1" outlineLevel="1" x14ac:dyDescent="0.3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30.99</v>
      </c>
      <c r="I23" s="2">
        <v>27.14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463.04674684999992</v>
      </c>
    </row>
    <row r="24" spans="1:17" s="35" customFormat="1" hidden="1" outlineLevel="1" x14ac:dyDescent="0.3">
      <c r="A24" s="34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610.04</v>
      </c>
      <c r="I24" s="2">
        <v>610.04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7609.7198710000048</v>
      </c>
    </row>
    <row r="25" spans="1:17" s="35" customFormat="1" hidden="1" outlineLevel="1" x14ac:dyDescent="0.3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3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5" customFormat="1" hidden="1" outlineLevel="1" x14ac:dyDescent="0.3">
      <c r="A27" s="34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524.49</v>
      </c>
      <c r="I27" s="2">
        <v>529.76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4352.5599549999997</v>
      </c>
    </row>
    <row r="28" spans="1:17" s="35" customFormat="1" hidden="1" outlineLevel="1" x14ac:dyDescent="0.3">
      <c r="A28" s="34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277.58999999999997</v>
      </c>
      <c r="I28" s="2">
        <v>277.58999999999997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5016.75497</v>
      </c>
    </row>
    <row r="29" spans="1:17" s="35" customFormat="1" hidden="1" outlineLevel="1" x14ac:dyDescent="0.3">
      <c r="A29" s="34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>
        <v>93.75</v>
      </c>
      <c r="I29" s="2">
        <v>73.75</v>
      </c>
      <c r="J29" s="2"/>
      <c r="K29" s="2"/>
      <c r="L29" s="2"/>
      <c r="M29" s="2"/>
      <c r="N29" s="2"/>
      <c r="O29" s="2"/>
      <c r="P29" s="9"/>
      <c r="Q29" s="2">
        <f>SUM(OSRRefD21_0_9x)+IFERROR(SUM(OSRRefE21_0_9x),0)</f>
        <v>355</v>
      </c>
    </row>
    <row r="30" spans="1:17" s="35" customFormat="1" collapsed="1" x14ac:dyDescent="0.3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SUM(OSRRefD21_1x_4)</f>
        <v>11774.15</v>
      </c>
      <c r="I30" s="1">
        <f>SUM(OSRRefD21_1x_5)</f>
        <v>11517.15</v>
      </c>
      <c r="J30" s="1">
        <f>SUM(OSRRefE21_1x_0)</f>
        <v>24050.797802884619</v>
      </c>
      <c r="K30" s="1">
        <f>SUM(OSRRefE21_1x_1)</f>
        <v>19497.288242307688</v>
      </c>
      <c r="L30" s="1">
        <f>SUM(OSRRefE21_1x_2)</f>
        <v>19497.288242307688</v>
      </c>
      <c r="M30" s="1">
        <f>SUM(OSRRefE21_1x_3)</f>
        <v>23411.797802884619</v>
      </c>
      <c r="N30" s="1">
        <f>SUM(OSRRefE21_1x_4)</f>
        <v>18271.038242307688</v>
      </c>
      <c r="O30" s="1">
        <f>SUM(OSRRefE21_1x_5)</f>
        <v>16309.03824230769</v>
      </c>
      <c r="Q30" s="2">
        <f>SUM(OSRRefD20_1x)+IFERROR(SUM(OSRRefE20_1x),0)</f>
        <v>210000.458575</v>
      </c>
    </row>
    <row r="31" spans="1:17" s="35" customFormat="1" hidden="1" outlineLevel="1" x14ac:dyDescent="0.3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4192.4399999999996</v>
      </c>
      <c r="I31" s="2">
        <v>4658.26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55243.539999999994</v>
      </c>
    </row>
    <row r="32" spans="1:17" s="35" customFormat="1" hidden="1" outlineLevel="1" x14ac:dyDescent="0.3">
      <c r="A32" s="34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1156</v>
      </c>
      <c r="I32" s="2">
        <v>1360</v>
      </c>
      <c r="J32" s="2">
        <v>2791.5381874999998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26068.568575000001</v>
      </c>
    </row>
    <row r="33" spans="1:17" s="35" customFormat="1" hidden="1" outlineLevel="1" x14ac:dyDescent="0.3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">
      <c r="A34" s="34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502.42</v>
      </c>
      <c r="I34" s="2">
        <v>1000.06</v>
      </c>
      <c r="J34" s="2">
        <v>2088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21202.379999999997</v>
      </c>
    </row>
    <row r="35" spans="1:17" s="35" customFormat="1" hidden="1" outlineLevel="1" x14ac:dyDescent="0.3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5366.19</v>
      </c>
      <c r="I35" s="2">
        <v>4211.55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37027.670000000006</v>
      </c>
    </row>
    <row r="36" spans="1:17" s="35" customFormat="1" hidden="1" outlineLevel="1" x14ac:dyDescent="0.3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">
      <c r="A37" s="34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557.1</v>
      </c>
      <c r="I37" s="2">
        <v>287.27999999999997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11579.58</v>
      </c>
    </row>
    <row r="38" spans="1:17" s="35" customFormat="1" hidden="1" outlineLevel="1" x14ac:dyDescent="0.3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/>
      <c r="I38" s="2"/>
      <c r="J38" s="2">
        <v>13996.5</v>
      </c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58878.720000000001</v>
      </c>
    </row>
    <row r="39" spans="1:17" s="35" customFormat="1" hidden="1" outlineLevel="1" x14ac:dyDescent="0.3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SUM(OSRRefD21_2x_4)</f>
        <v>0</v>
      </c>
      <c r="I41" s="1">
        <f>SUM(OSRRefD21_2x_5)</f>
        <v>0</v>
      </c>
      <c r="J41" s="1">
        <f>SUM(OSRRefE21_2x_0)</f>
        <v>100</v>
      </c>
      <c r="K41" s="1">
        <f>SUM(OSRRefE21_2x_1)</f>
        <v>100</v>
      </c>
      <c r="L41" s="1">
        <f>SUM(OSRRefE21_2x_2)</f>
        <v>100</v>
      </c>
      <c r="M41" s="1">
        <f>SUM(OSRRefE21_2x_3)</f>
        <v>100</v>
      </c>
      <c r="N41" s="1">
        <f>SUM(OSRRefE21_2x_4)</f>
        <v>100</v>
      </c>
      <c r="O41" s="1">
        <f>SUM(OSRRefE21_2x_5)</f>
        <v>100</v>
      </c>
      <c r="Q41" s="2">
        <f>SUM(OSRRefD20_2x)+IFERROR(SUM(OSRRefE20_2x),0)</f>
        <v>712.46</v>
      </c>
    </row>
    <row r="42" spans="1:17" s="35" customFormat="1" hidden="1" outlineLevel="1" x14ac:dyDescent="0.3">
      <c r="A42" s="34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/>
      <c r="I42" s="2"/>
      <c r="J42" s="2">
        <v>100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712.46</v>
      </c>
    </row>
    <row r="43" spans="1:17" s="35" customFormat="1" collapsed="1" x14ac:dyDescent="0.3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SUM(OSRRefD21_3x_4)</f>
        <v>229.39</v>
      </c>
      <c r="I43" s="1">
        <f>SUM(OSRRefD21_3x_5)</f>
        <v>278</v>
      </c>
      <c r="J43" s="1">
        <f>SUM(OSRRefE21_3x_0)</f>
        <v>1250</v>
      </c>
      <c r="K43" s="1">
        <f>SUM(OSRRefE21_3x_1)</f>
        <v>1250</v>
      </c>
      <c r="L43" s="1">
        <f>SUM(OSRRefE21_3x_2)</f>
        <v>1250</v>
      </c>
      <c r="M43" s="1">
        <f>SUM(OSRRefE21_3x_3)</f>
        <v>1250</v>
      </c>
      <c r="N43" s="1">
        <f>SUM(OSRRefE21_3x_4)</f>
        <v>1250</v>
      </c>
      <c r="O43" s="1">
        <f>SUM(OSRRefE21_3x_5)</f>
        <v>1250</v>
      </c>
      <c r="Q43" s="2">
        <f>SUM(OSRRefD20_3x)+IFERROR(SUM(OSRRefE20_3x),0)</f>
        <v>9310.5</v>
      </c>
    </row>
    <row r="44" spans="1:17" s="35" customFormat="1" hidden="1" outlineLevel="1" x14ac:dyDescent="0.3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229.39</v>
      </c>
      <c r="I44" s="2">
        <v>278</v>
      </c>
      <c r="J44" s="2">
        <v>1250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9310.5</v>
      </c>
    </row>
    <row r="45" spans="1:17" s="35" customFormat="1" collapsed="1" x14ac:dyDescent="0.3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SUM(OSRRefD21_4x_5)</f>
        <v>0</v>
      </c>
      <c r="J45" s="1">
        <f>SUM(OSRRefE21_4x_0)</f>
        <v>20</v>
      </c>
      <c r="K45" s="1">
        <f>SUM(OSRRefE21_4x_1)</f>
        <v>20</v>
      </c>
      <c r="L45" s="1">
        <f>SUM(OSRRefE21_4x_2)</f>
        <v>20</v>
      </c>
      <c r="M45" s="1">
        <f>SUM(OSRRefE21_4x_3)</f>
        <v>20</v>
      </c>
      <c r="N45" s="1">
        <f>SUM(OSRRefE21_4x_4)</f>
        <v>20</v>
      </c>
      <c r="O45" s="1">
        <f>SUM(OSRRefE21_4x_5)</f>
        <v>20</v>
      </c>
      <c r="Q45" s="2">
        <f>SUM(OSRRefD20_4x)+IFERROR(SUM(OSRRefE20_4x),0)</f>
        <v>120</v>
      </c>
    </row>
    <row r="46" spans="1:17" s="35" customFormat="1" hidden="1" outlineLevel="1" x14ac:dyDescent="0.3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/>
      <c r="J46" s="2">
        <v>20</v>
      </c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120</v>
      </c>
    </row>
    <row r="47" spans="1:17" s="35" customFormat="1" collapsed="1" x14ac:dyDescent="0.3">
      <c r="A47" s="34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SUM(OSRRefD21_5x_4)</f>
        <v>0</v>
      </c>
      <c r="I47" s="1">
        <f>SUM(OSRRefD21_5x_5)</f>
        <v>0</v>
      </c>
      <c r="J47" s="1">
        <f>SUM(OSRRefE21_5x_0)</f>
        <v>10</v>
      </c>
      <c r="K47" s="1">
        <f>SUM(OSRRefE21_5x_1)</f>
        <v>10</v>
      </c>
      <c r="L47" s="1">
        <f>SUM(OSRRefE21_5x_2)</f>
        <v>10</v>
      </c>
      <c r="M47" s="1">
        <f>SUM(OSRRefE21_5x_3)</f>
        <v>10</v>
      </c>
      <c r="N47" s="1">
        <f>SUM(OSRRefE21_5x_4)</f>
        <v>10</v>
      </c>
      <c r="O47" s="1">
        <f>SUM(OSRRefE21_5x_5)</f>
        <v>10</v>
      </c>
      <c r="Q47" s="2">
        <f>SUM(OSRRefD20_5x)+IFERROR(SUM(OSRRefE20_5x),0)</f>
        <v>60.62</v>
      </c>
    </row>
    <row r="48" spans="1:17" s="35" customFormat="1" hidden="1" outlineLevel="1" x14ac:dyDescent="0.3">
      <c r="A48" s="34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5" customFormat="1" hidden="1" outlineLevel="1" x14ac:dyDescent="0.3">
      <c r="A49" s="34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/>
      <c r="I49" s="2"/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60</v>
      </c>
    </row>
    <row r="50" spans="1:17" s="35" customFormat="1" collapsed="1" x14ac:dyDescent="0.3">
      <c r="A50" s="34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50</v>
      </c>
      <c r="K50" s="1">
        <f>SUM(OSRRefE21_6x_1)</f>
        <v>50</v>
      </c>
      <c r="L50" s="1">
        <f>SUM(OSRRefE21_6x_2)</f>
        <v>50</v>
      </c>
      <c r="M50" s="1">
        <f>SUM(OSRRefE21_6x_3)</f>
        <v>50</v>
      </c>
      <c r="N50" s="1">
        <f>SUM(OSRRefE21_6x_4)</f>
        <v>50</v>
      </c>
      <c r="O50" s="1">
        <f>SUM(OSRRefE21_6x_5)</f>
        <v>50</v>
      </c>
      <c r="Q50" s="2">
        <f>SUM(OSRRefD20_6x)+IFERROR(SUM(OSRRefE20_6x),0)</f>
        <v>300</v>
      </c>
    </row>
    <row r="51" spans="1:17" s="35" customFormat="1" hidden="1" outlineLevel="1" x14ac:dyDescent="0.3">
      <c r="A51" s="34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/>
      <c r="I51" s="2"/>
      <c r="J51" s="2">
        <v>50</v>
      </c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300</v>
      </c>
    </row>
    <row r="52" spans="1:17" s="35" customFormat="1" collapsed="1" x14ac:dyDescent="0.3">
      <c r="A52" s="34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SUM(OSRRefD21_7x_4)</f>
        <v>39.43</v>
      </c>
      <c r="I52" s="1">
        <f>SUM(OSRRefD21_7x_5)</f>
        <v>39.43</v>
      </c>
      <c r="J52" s="1">
        <f>SUM(OSRRefE21_7x_0)</f>
        <v>40</v>
      </c>
      <c r="K52" s="1">
        <f>SUM(OSRRefE21_7x_1)</f>
        <v>40</v>
      </c>
      <c r="L52" s="1">
        <f>SUM(OSRRefE21_7x_2)</f>
        <v>40</v>
      </c>
      <c r="M52" s="1">
        <f>SUM(OSRRefE21_7x_3)</f>
        <v>40</v>
      </c>
      <c r="N52" s="1">
        <f>SUM(OSRRefE21_7x_4)</f>
        <v>40</v>
      </c>
      <c r="O52" s="1">
        <f>SUM(OSRRefE21_7x_5)</f>
        <v>40</v>
      </c>
      <c r="Q52" s="2">
        <f>SUM(OSRRefD20_7x)+IFERROR(SUM(OSRRefE20_7x),0)</f>
        <v>476.58000000000004</v>
      </c>
    </row>
    <row r="53" spans="1:17" s="35" customFormat="1" hidden="1" outlineLevel="1" x14ac:dyDescent="0.3">
      <c r="A53" s="34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39.43</v>
      </c>
      <c r="I53" s="2">
        <v>39.43</v>
      </c>
      <c r="J53" s="2">
        <v>40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476.58000000000004</v>
      </c>
    </row>
    <row r="54" spans="1:17" s="35" customFormat="1" collapsed="1" x14ac:dyDescent="0.3">
      <c r="A54" s="34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SUM(OSRRefD21_8x_4)</f>
        <v>800</v>
      </c>
      <c r="I54" s="1">
        <f>SUM(OSRRefD21_8x_5)</f>
        <v>800</v>
      </c>
      <c r="J54" s="1">
        <f>SUM(OSRRefE21_8x_0)</f>
        <v>800</v>
      </c>
      <c r="K54" s="1">
        <f>SUM(OSRRefE21_8x_1)</f>
        <v>800</v>
      </c>
      <c r="L54" s="1">
        <f>SUM(OSRRefE21_8x_2)</f>
        <v>800</v>
      </c>
      <c r="M54" s="1">
        <f>SUM(OSRRefE21_8x_3)</f>
        <v>800</v>
      </c>
      <c r="N54" s="1">
        <f>SUM(OSRRefE21_8x_4)</f>
        <v>800</v>
      </c>
      <c r="O54" s="1">
        <f>SUM(OSRRefE21_8x_5)</f>
        <v>800</v>
      </c>
      <c r="Q54" s="2">
        <f>SUM(OSRRefD20_8x)+IFERROR(SUM(OSRRefE20_8x),0)</f>
        <v>9600</v>
      </c>
    </row>
    <row r="55" spans="1:17" s="35" customFormat="1" hidden="1" outlineLevel="1" x14ac:dyDescent="0.3">
      <c r="A55" s="34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5" customFormat="1" collapsed="1" x14ac:dyDescent="0.3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SUM(OSRRefE21_9x_0)</f>
        <v>3200</v>
      </c>
      <c r="K56" s="1">
        <f>SUM(OSRRefE21_9x_1)</f>
        <v>3200</v>
      </c>
      <c r="L56" s="1">
        <f>SUM(OSRRefE21_9x_2)</f>
        <v>3200</v>
      </c>
      <c r="M56" s="1">
        <f>SUM(OSRRefE21_9x_3)</f>
        <v>3200</v>
      </c>
      <c r="N56" s="1">
        <f>SUM(OSRRefE21_9x_4)</f>
        <v>3200</v>
      </c>
      <c r="O56" s="1">
        <f>SUM(OSRRefE21_9x_5)</f>
        <v>3200</v>
      </c>
      <c r="Q56" s="2">
        <f>SUM(OSRRefD20_9x)+IFERROR(SUM(OSRRefE20_9x),0)</f>
        <v>141200.62</v>
      </c>
    </row>
    <row r="57" spans="1:17" s="35" customFormat="1" hidden="1" outlineLevel="1" x14ac:dyDescent="0.3">
      <c r="A57" s="34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/>
      <c r="I57" s="2"/>
      <c r="J57" s="2">
        <v>3200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19200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5" customFormat="1" collapsed="1" x14ac:dyDescent="0.3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SUM(OSRRefE21_10x_0)</f>
        <v>85</v>
      </c>
      <c r="K59" s="1">
        <f>SUM(OSRRefE21_10x_1)</f>
        <v>85</v>
      </c>
      <c r="L59" s="1">
        <f>SUM(OSRRefE21_10x_2)</f>
        <v>85</v>
      </c>
      <c r="M59" s="1">
        <f>SUM(OSRRefE21_10x_3)</f>
        <v>85</v>
      </c>
      <c r="N59" s="1">
        <f>SUM(OSRRefE21_10x_4)</f>
        <v>85</v>
      </c>
      <c r="O59" s="1">
        <f>SUM(OSRRefE21_10x_5)</f>
        <v>85</v>
      </c>
      <c r="Q59" s="2">
        <f>SUM(OSRRefD20_10x)+IFERROR(SUM(OSRRefE20_10x),0)</f>
        <v>510</v>
      </c>
    </row>
    <row r="60" spans="1:17" s="35" customFormat="1" hidden="1" outlineLevel="1" x14ac:dyDescent="0.3">
      <c r="A60" s="34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/>
      <c r="I60" s="2"/>
      <c r="J60" s="2">
        <v>85</v>
      </c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510</v>
      </c>
    </row>
    <row r="61" spans="1:17" s="35" customFormat="1" collapsed="1" x14ac:dyDescent="0.3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SUM(OSRRefD21_11x_4)</f>
        <v>235.39</v>
      </c>
      <c r="I61" s="1">
        <f>SUM(OSRRefD21_11x_5)</f>
        <v>30.62</v>
      </c>
      <c r="J61" s="1">
        <f>SUM(OSRRefE21_11x_0)</f>
        <v>5800</v>
      </c>
      <c r="K61" s="1">
        <f>SUM(OSRRefE21_11x_1)</f>
        <v>5800</v>
      </c>
      <c r="L61" s="1">
        <f>SUM(OSRRefE21_11x_2)</f>
        <v>5800</v>
      </c>
      <c r="M61" s="1">
        <f>SUM(OSRRefE21_11x_3)</f>
        <v>5800</v>
      </c>
      <c r="N61" s="1">
        <f>SUM(OSRRefE21_11x_4)</f>
        <v>5800</v>
      </c>
      <c r="O61" s="1">
        <f>SUM(OSRRefE21_11x_5)</f>
        <v>5800</v>
      </c>
      <c r="Q61" s="2">
        <f>SUM(OSRRefD20_11x)+IFERROR(SUM(OSRRefE20_11x),0)</f>
        <v>50355.09</v>
      </c>
    </row>
    <row r="62" spans="1:17" s="35" customFormat="1" hidden="1" outlineLevel="1" x14ac:dyDescent="0.3">
      <c r="A62" s="34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/>
      <c r="I62" s="2"/>
      <c r="J62" s="2">
        <v>5800</v>
      </c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34800</v>
      </c>
    </row>
    <row r="63" spans="1:17" s="35" customFormat="1" hidden="1" outlineLevel="1" x14ac:dyDescent="0.3">
      <c r="A63" s="34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>
        <v>235.39</v>
      </c>
      <c r="I63" s="2">
        <v>30.62</v>
      </c>
      <c r="J63" s="2"/>
      <c r="K63" s="2"/>
      <c r="L63" s="2"/>
      <c r="M63" s="2"/>
      <c r="N63" s="2"/>
      <c r="O63" s="2"/>
      <c r="P63" s="9"/>
      <c r="Q63" s="2">
        <f>SUM(OSRRefD21_11_1x)+IFERROR(SUM(OSRRefE21_11_1x),0)</f>
        <v>15538.55</v>
      </c>
    </row>
    <row r="64" spans="1:17" s="35" customFormat="1" hidden="1" outlineLevel="1" x14ac:dyDescent="0.3">
      <c r="A64" s="34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5" customFormat="1" collapsed="1" x14ac:dyDescent="0.3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SUM(OSRRefD21_12x_4)</f>
        <v>90.85</v>
      </c>
      <c r="I65" s="1">
        <f>SUM(OSRRefD21_12x_5)</f>
        <v>90.15</v>
      </c>
      <c r="J65" s="1">
        <f>SUM(OSRRefE21_12x_0)</f>
        <v>350</v>
      </c>
      <c r="K65" s="1">
        <f>SUM(OSRRefE21_12x_1)</f>
        <v>350</v>
      </c>
      <c r="L65" s="1">
        <f>SUM(OSRRefE21_12x_2)</f>
        <v>350</v>
      </c>
      <c r="M65" s="1">
        <f>SUM(OSRRefE21_12x_3)</f>
        <v>350</v>
      </c>
      <c r="N65" s="1">
        <f>SUM(OSRRefE21_12x_4)</f>
        <v>350</v>
      </c>
      <c r="O65" s="1">
        <f>SUM(OSRRefE21_12x_5)</f>
        <v>350</v>
      </c>
      <c r="Q65" s="2">
        <f>SUM(OSRRefD20_12x)+IFERROR(SUM(OSRRefE20_12x),0)</f>
        <v>2205</v>
      </c>
    </row>
    <row r="66" spans="1:17" s="35" customFormat="1" hidden="1" outlineLevel="1" x14ac:dyDescent="0.3">
      <c r="A66" s="34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90.85</v>
      </c>
      <c r="I66" s="2">
        <v>90.15</v>
      </c>
      <c r="J66" s="2">
        <v>350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2205</v>
      </c>
    </row>
    <row r="67" spans="1:17" s="35" customFormat="1" collapsed="1" x14ac:dyDescent="0.3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SUM(OSRRefD21_13x_4)</f>
        <v>0</v>
      </c>
      <c r="I67" s="1">
        <f>SUM(OSRRefD21_13x_5)</f>
        <v>0</v>
      </c>
      <c r="J67" s="1">
        <f>SUM(OSRRefE21_13x_0)</f>
        <v>0</v>
      </c>
      <c r="K67" s="1">
        <f>SUM(OSRRefE21_13x_1)</f>
        <v>0</v>
      </c>
      <c r="L67" s="1">
        <f>SUM(OSRRefE21_13x_2)</f>
        <v>3000</v>
      </c>
      <c r="M67" s="1">
        <f>SUM(OSRRefE21_13x_3)</f>
        <v>1500</v>
      </c>
      <c r="N67" s="1">
        <f>SUM(OSRRefE21_13x_4)</f>
        <v>0</v>
      </c>
      <c r="O67" s="1">
        <f>SUM(OSRRefE21_13x_5)</f>
        <v>0</v>
      </c>
      <c r="Q67" s="2">
        <f>SUM(OSRRefD20_13x)+IFERROR(SUM(OSRRefE20_13x),0)</f>
        <v>6500</v>
      </c>
    </row>
    <row r="68" spans="1:17" s="35" customFormat="1" hidden="1" outlineLevel="1" x14ac:dyDescent="0.3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f>--620.46</f>
        <v>620.46</v>
      </c>
      <c r="I70" s="3">
        <f>--713.07</f>
        <v>713.07</v>
      </c>
      <c r="J70" s="3">
        <v>2400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20130.400000000001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3">IFERROR(+D15-D18+D70, 0)</f>
        <v>0.14000000001047397</v>
      </c>
      <c r="E72" s="7">
        <f t="shared" si="3"/>
        <v>67291.799999999988</v>
      </c>
      <c r="F72" s="7">
        <f t="shared" si="3"/>
        <v>-0.16000000000303771</v>
      </c>
      <c r="G72" s="7">
        <f t="shared" si="3"/>
        <v>-432.76000000000499</v>
      </c>
      <c r="H72" s="7">
        <f t="shared" si="3"/>
        <v>0.33000000000265572</v>
      </c>
      <c r="I72" s="7">
        <f t="shared" si="3"/>
        <v>-30657.85</v>
      </c>
      <c r="J72" s="7">
        <f t="shared" si="3"/>
        <v>4239.065598527879</v>
      </c>
      <c r="K72" s="7">
        <f t="shared" si="3"/>
        <v>3660.9013458223126</v>
      </c>
      <c r="L72" s="7">
        <f t="shared" si="3"/>
        <v>4001.9013458223126</v>
      </c>
      <c r="M72" s="7">
        <f t="shared" si="3"/>
        <v>4337.5972385278801</v>
      </c>
      <c r="N72" s="7">
        <f t="shared" si="3"/>
        <v>3514.6434708223096</v>
      </c>
      <c r="O72" s="7">
        <f t="shared" si="3"/>
        <v>10348.623430822314</v>
      </c>
      <c r="Q72" s="7">
        <f>IFERROR(+Q15-Q18+Q70, 0)</f>
        <v>66304.232430345</v>
      </c>
    </row>
    <row r="73" spans="1:17" s="6" customFormat="1" x14ac:dyDescent="0.3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2.0374143360045425E-5</v>
      </c>
      <c r="I73" s="4">
        <f t="shared" si="4"/>
        <v>2.0444018404907975</v>
      </c>
      <c r="J73" s="4">
        <f t="shared" si="4"/>
        <v>0.10220772992231172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0.12687644100879467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2944.24</v>
      </c>
      <c r="I75" s="3">
        <v>-1421.65</v>
      </c>
      <c r="J75" s="3">
        <v>3669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55395.119999999988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5">IFERROR(+D72-D75, 0)</f>
        <v>-67291.869999999981</v>
      </c>
      <c r="E77" s="8">
        <f t="shared" si="5"/>
        <v>99339.729999999981</v>
      </c>
      <c r="F77" s="8">
        <f t="shared" si="5"/>
        <v>3895.2699999999968</v>
      </c>
      <c r="G77" s="8">
        <f t="shared" si="5"/>
        <v>-2414.6400000000049</v>
      </c>
      <c r="H77" s="8">
        <f t="shared" si="5"/>
        <v>-2943.9099999999971</v>
      </c>
      <c r="I77" s="8">
        <f t="shared" si="5"/>
        <v>-29236.199999999997</v>
      </c>
      <c r="J77" s="8">
        <f t="shared" si="5"/>
        <v>570.06559852787905</v>
      </c>
      <c r="K77" s="8">
        <f t="shared" si="5"/>
        <v>524.90134582231258</v>
      </c>
      <c r="L77" s="8">
        <f t="shared" si="5"/>
        <v>-560.09865417768742</v>
      </c>
      <c r="M77" s="8">
        <f t="shared" si="5"/>
        <v>-1478.4027614721199</v>
      </c>
      <c r="N77" s="8">
        <f t="shared" si="5"/>
        <v>-1245.3565291776904</v>
      </c>
      <c r="O77" s="8">
        <f t="shared" si="5"/>
        <v>11749.623430822314</v>
      </c>
      <c r="Q77" s="8">
        <f>IFERROR(+Q72-Q75, 0)</f>
        <v>10909.112430345012</v>
      </c>
    </row>
    <row r="78" spans="1:17" ht="15" thickTop="1" x14ac:dyDescent="0.3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-0.18175649811693506</v>
      </c>
      <c r="I78" s="4">
        <f t="shared" si="6"/>
        <v>1.949599893304881</v>
      </c>
      <c r="J78" s="4">
        <f t="shared" si="6"/>
        <v>1.3744800446724027E-2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2.0875128313732231E-2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7">IFERROR(SUM(D77:D80), 0)</f>
        <v>-67292.331994919485</v>
      </c>
      <c r="E81" s="8">
        <f t="shared" si="7"/>
        <v>99340.831364014302</v>
      </c>
      <c r="F81" s="8">
        <f t="shared" si="7"/>
        <v>3895.4936347456623</v>
      </c>
      <c r="G81" s="8">
        <f t="shared" si="7"/>
        <v>-2414.7088382700963</v>
      </c>
      <c r="H81" s="8">
        <f t="shared" si="7"/>
        <v>-2944.0917564981141</v>
      </c>
      <c r="I81" s="8">
        <f t="shared" si="7"/>
        <v>-29234.250400106692</v>
      </c>
      <c r="J81" s="8">
        <f t="shared" si="7"/>
        <v>570.07934332832576</v>
      </c>
      <c r="K81" s="8">
        <f t="shared" si="7"/>
        <v>524.91600132113501</v>
      </c>
      <c r="L81" s="8">
        <f t="shared" si="7"/>
        <v>-560.11295809918749</v>
      </c>
      <c r="M81" s="8">
        <f t="shared" si="7"/>
        <v>-1478.4375933155247</v>
      </c>
      <c r="N81" s="8">
        <f t="shared" si="7"/>
        <v>-1245.392747195116</v>
      </c>
      <c r="O81" s="8">
        <f t="shared" si="7"/>
        <v>11749.918914763337</v>
      </c>
      <c r="Q81" s="8">
        <f>IFERROR(SUM(Q77:Q80), 0)</f>
        <v>10909.133305473326</v>
      </c>
    </row>
    <row r="82" spans="1:17" ht="15" thickTop="1" x14ac:dyDescent="0.3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-0.1817677197319327</v>
      </c>
      <c r="I82" s="4">
        <f t="shared" si="8"/>
        <v>1.949469885309862</v>
      </c>
      <c r="J82" s="4">
        <f t="shared" si="8"/>
        <v>1.3745131846373135E-2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2.0875168259326785E-2</v>
      </c>
    </row>
    <row r="83" spans="1:17" x14ac:dyDescent="0.3">
      <c r="A83" s="5"/>
      <c r="B83" s="28">
        <v>44575.850654085647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26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3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2" t="s">
        <v>23</v>
      </c>
    </row>
    <row r="3" spans="1:18" x14ac:dyDescent="0.3">
      <c r="B3" s="32" t="s">
        <v>122</v>
      </c>
    </row>
    <row r="4" spans="1:18" x14ac:dyDescent="0.3">
      <c r="B4" s="30" t="s">
        <v>158</v>
      </c>
    </row>
    <row r="5" spans="1:18" x14ac:dyDescent="0.3">
      <c r="A5" s="15"/>
      <c r="B5" s="15" t="str">
        <f>CONCATENATE("Department ","501", " - ", "ID Card Services")</f>
        <v>Department 501 - ID Card Services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77</v>
      </c>
      <c r="I7" s="11" t="s">
        <v>77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SUM(OSRRefD11x_4)</f>
        <v>16197</v>
      </c>
      <c r="I10" s="3">
        <f>SUM(OSRRefD11x_5)</f>
        <v>-14996</v>
      </c>
      <c r="J10" s="3">
        <f>SUM(OSRRefE11x_0)</f>
        <v>41475</v>
      </c>
      <c r="K10" s="3">
        <f>SUM(OSRRefE11x_1)</f>
        <v>35816</v>
      </c>
      <c r="L10" s="3">
        <f>SUM(OSRRefE11x_2)</f>
        <v>39157</v>
      </c>
      <c r="M10" s="3">
        <f>SUM(OSRRefE11x_3)</f>
        <v>42444</v>
      </c>
      <c r="N10" s="3">
        <f>SUM(OSRRefE11x_4)</f>
        <v>34385</v>
      </c>
      <c r="O10" s="3">
        <f>SUM(OSRRefE11x_5)</f>
        <v>39764</v>
      </c>
      <c r="P10" s="24"/>
      <c r="Q10" s="3">
        <f>SUM(OSRRefG11x)</f>
        <v>522589</v>
      </c>
      <c r="R10" s="24"/>
    </row>
    <row r="11" spans="1:18" s="9" customFormat="1" hidden="1" outlineLevel="1" x14ac:dyDescent="0.3">
      <c r="A11" s="23"/>
      <c r="B11" s="10" t="str">
        <f>CONCATENATE("          ","4100", " - ","NON-TAXABLE SALES")</f>
        <v xml:space="preserve">          4100 - NON-TAXABLE SALES</v>
      </c>
      <c r="C11" s="22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f>--16197</f>
        <v>16197</v>
      </c>
      <c r="I11" s="2">
        <f>-14996</f>
        <v>-14996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522589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3"/>
      <c r="B13" s="16" t="s">
        <v>218</v>
      </c>
      <c r="C13" s="22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35077</v>
      </c>
      <c r="H15" s="7">
        <f t="shared" si="1"/>
        <v>16197</v>
      </c>
      <c r="I15" s="7">
        <f t="shared" si="1"/>
        <v>-14996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522589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SUM(OSRRefD20x_3)</f>
        <v>37178.060000000005</v>
      </c>
      <c r="H18" s="12">
        <f>SUM(OSRRefD20x_4)</f>
        <v>16817.129999999997</v>
      </c>
      <c r="I18" s="12">
        <f>SUM(OSRRefD20x_5)</f>
        <v>16374.92</v>
      </c>
      <c r="J18" s="12">
        <f>SUM(OSRRefE20x_0)</f>
        <v>39635.934401472121</v>
      </c>
      <c r="K18" s="12">
        <f>SUM(OSRRefE20x_1)</f>
        <v>34555.098654177687</v>
      </c>
      <c r="L18" s="12">
        <f>SUM(OSRRefE20x_2)</f>
        <v>37555.098654177687</v>
      </c>
      <c r="M18" s="12">
        <f>SUM(OSRRefE20x_3)</f>
        <v>40506.40276147212</v>
      </c>
      <c r="N18" s="12">
        <f>SUM(OSRRefE20x_4)</f>
        <v>33270.35652917769</v>
      </c>
      <c r="O18" s="12">
        <f>SUM(OSRRefE20x_5)</f>
        <v>31815.376569177686</v>
      </c>
      <c r="Q18" s="12">
        <f>SUM(OSRRefG20x)</f>
        <v>476415.16756965499</v>
      </c>
    </row>
    <row r="19" spans="1:17" s="35" customFormat="1" collapsed="1" x14ac:dyDescent="0.3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SUM(OSRRefD21_0x_4)</f>
        <v>3647.92</v>
      </c>
      <c r="I19" s="1">
        <f>SUM(OSRRefD21_0x_5)</f>
        <v>3619.5699999999997</v>
      </c>
      <c r="J19" s="1">
        <f>SUM(OSRRefE21_0x_0)</f>
        <v>3880.1365985875027</v>
      </c>
      <c r="K19" s="1">
        <f>SUM(OSRRefE21_0x_1)</f>
        <v>3352.8104118699998</v>
      </c>
      <c r="L19" s="1">
        <f>SUM(OSRRefE21_0x_2)</f>
        <v>3352.8104118699998</v>
      </c>
      <c r="M19" s="1">
        <f>SUM(OSRRefE21_0x_3)</f>
        <v>3889.6049585875021</v>
      </c>
      <c r="N19" s="1">
        <f>SUM(OSRRefE21_0x_4)</f>
        <v>3294.3182868699996</v>
      </c>
      <c r="O19" s="1">
        <f>SUM(OSRRefE21_0x_5)</f>
        <v>3801.3383268699977</v>
      </c>
      <c r="Q19" s="2">
        <f>SUM(OSRRefD20_0x)+IFERROR(SUM(OSRRefE20_0x),0)</f>
        <v>45063.838994655001</v>
      </c>
    </row>
    <row r="20" spans="1:17" s="35" customFormat="1" hidden="1" outlineLevel="1" x14ac:dyDescent="0.3">
      <c r="A20" s="34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900.33</v>
      </c>
      <c r="I20" s="2">
        <v>909.69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11635.714475204997</v>
      </c>
    </row>
    <row r="21" spans="1:17" s="35" customFormat="1" hidden="1" outlineLevel="1" x14ac:dyDescent="0.3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156.38</v>
      </c>
      <c r="I21" s="2">
        <v>137.25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2954.7929765999997</v>
      </c>
    </row>
    <row r="22" spans="1:17" s="35" customFormat="1" hidden="1" outlineLevel="1" x14ac:dyDescent="0.3">
      <c r="A22" s="34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1054.3499999999999</v>
      </c>
      <c r="I22" s="2">
        <v>1054.3499999999999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12461.1</v>
      </c>
    </row>
    <row r="23" spans="1:17" s="35" customFormat="1" hidden="1" outlineLevel="1" x14ac:dyDescent="0.3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30.99</v>
      </c>
      <c r="I23" s="2">
        <v>27.14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463.04674684999992</v>
      </c>
    </row>
    <row r="24" spans="1:17" s="35" customFormat="1" hidden="1" outlineLevel="1" x14ac:dyDescent="0.3">
      <c r="A24" s="34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610.04</v>
      </c>
      <c r="I24" s="2">
        <v>610.04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7609.7198710000048</v>
      </c>
    </row>
    <row r="25" spans="1:17" s="35" customFormat="1" hidden="1" outlineLevel="1" x14ac:dyDescent="0.3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3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5" customFormat="1" hidden="1" outlineLevel="1" x14ac:dyDescent="0.3">
      <c r="A27" s="34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524.49</v>
      </c>
      <c r="I27" s="2">
        <v>529.76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4352.5599549999997</v>
      </c>
    </row>
    <row r="28" spans="1:17" s="35" customFormat="1" hidden="1" outlineLevel="1" x14ac:dyDescent="0.3">
      <c r="A28" s="34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277.58999999999997</v>
      </c>
      <c r="I28" s="2">
        <v>277.58999999999997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5016.75497</v>
      </c>
    </row>
    <row r="29" spans="1:17" s="35" customFormat="1" hidden="1" outlineLevel="1" x14ac:dyDescent="0.3">
      <c r="A29" s="34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>
        <v>93.75</v>
      </c>
      <c r="I29" s="2">
        <v>73.75</v>
      </c>
      <c r="J29" s="2"/>
      <c r="K29" s="2"/>
      <c r="L29" s="2"/>
      <c r="M29" s="2"/>
      <c r="N29" s="2"/>
      <c r="O29" s="2"/>
      <c r="P29" s="9"/>
      <c r="Q29" s="2">
        <f>SUM(OSRRefD21_0_9x)+IFERROR(SUM(OSRRefE21_0_9x),0)</f>
        <v>355</v>
      </c>
    </row>
    <row r="30" spans="1:17" s="35" customFormat="1" collapsed="1" x14ac:dyDescent="0.3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SUM(OSRRefD21_1x_4)</f>
        <v>11774.15</v>
      </c>
      <c r="I30" s="1">
        <f>SUM(OSRRefD21_1x_5)</f>
        <v>11517.15</v>
      </c>
      <c r="J30" s="1">
        <f>SUM(OSRRefE21_1x_0)</f>
        <v>24050.797802884619</v>
      </c>
      <c r="K30" s="1">
        <f>SUM(OSRRefE21_1x_1)</f>
        <v>19497.288242307688</v>
      </c>
      <c r="L30" s="1">
        <f>SUM(OSRRefE21_1x_2)</f>
        <v>19497.288242307688</v>
      </c>
      <c r="M30" s="1">
        <f>SUM(OSRRefE21_1x_3)</f>
        <v>23411.797802884619</v>
      </c>
      <c r="N30" s="1">
        <f>SUM(OSRRefE21_1x_4)</f>
        <v>18271.038242307688</v>
      </c>
      <c r="O30" s="1">
        <f>SUM(OSRRefE21_1x_5)</f>
        <v>16309.03824230769</v>
      </c>
      <c r="Q30" s="2">
        <f>SUM(OSRRefD20_1x)+IFERROR(SUM(OSRRefE20_1x),0)</f>
        <v>210000.458575</v>
      </c>
    </row>
    <row r="31" spans="1:17" s="35" customFormat="1" hidden="1" outlineLevel="1" x14ac:dyDescent="0.3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4192.4399999999996</v>
      </c>
      <c r="I31" s="2">
        <v>4658.26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55243.539999999994</v>
      </c>
    </row>
    <row r="32" spans="1:17" s="35" customFormat="1" hidden="1" outlineLevel="1" x14ac:dyDescent="0.3">
      <c r="A32" s="34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1156</v>
      </c>
      <c r="I32" s="2">
        <v>1360</v>
      </c>
      <c r="J32" s="2">
        <v>2791.5381874999998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26068.568575000001</v>
      </c>
    </row>
    <row r="33" spans="1:17" s="35" customFormat="1" hidden="1" outlineLevel="1" x14ac:dyDescent="0.3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">
      <c r="A34" s="34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502.42</v>
      </c>
      <c r="I34" s="2">
        <v>1000.06</v>
      </c>
      <c r="J34" s="2">
        <v>2088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21202.379999999997</v>
      </c>
    </row>
    <row r="35" spans="1:17" s="35" customFormat="1" hidden="1" outlineLevel="1" x14ac:dyDescent="0.3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5366.19</v>
      </c>
      <c r="I35" s="2">
        <v>4211.55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37027.670000000006</v>
      </c>
    </row>
    <row r="36" spans="1:17" s="35" customFormat="1" hidden="1" outlineLevel="1" x14ac:dyDescent="0.3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">
      <c r="A37" s="34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557.1</v>
      </c>
      <c r="I37" s="2">
        <v>287.27999999999997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11579.58</v>
      </c>
    </row>
    <row r="38" spans="1:17" s="35" customFormat="1" hidden="1" outlineLevel="1" x14ac:dyDescent="0.3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/>
      <c r="I38" s="2"/>
      <c r="J38" s="2">
        <v>13996.5</v>
      </c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58878.720000000001</v>
      </c>
    </row>
    <row r="39" spans="1:17" s="35" customFormat="1" hidden="1" outlineLevel="1" x14ac:dyDescent="0.3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SUM(OSRRefD21_2x_4)</f>
        <v>0</v>
      </c>
      <c r="I41" s="1">
        <f>SUM(OSRRefD21_2x_5)</f>
        <v>0</v>
      </c>
      <c r="J41" s="1">
        <f>SUM(OSRRefE21_2x_0)</f>
        <v>100</v>
      </c>
      <c r="K41" s="1">
        <f>SUM(OSRRefE21_2x_1)</f>
        <v>100</v>
      </c>
      <c r="L41" s="1">
        <f>SUM(OSRRefE21_2x_2)</f>
        <v>100</v>
      </c>
      <c r="M41" s="1">
        <f>SUM(OSRRefE21_2x_3)</f>
        <v>100</v>
      </c>
      <c r="N41" s="1">
        <f>SUM(OSRRefE21_2x_4)</f>
        <v>100</v>
      </c>
      <c r="O41" s="1">
        <f>SUM(OSRRefE21_2x_5)</f>
        <v>100</v>
      </c>
      <c r="Q41" s="2">
        <f>SUM(OSRRefD20_2x)+IFERROR(SUM(OSRRefE20_2x),0)</f>
        <v>712.46</v>
      </c>
    </row>
    <row r="42" spans="1:17" s="35" customFormat="1" hidden="1" outlineLevel="1" x14ac:dyDescent="0.3">
      <c r="A42" s="34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/>
      <c r="I42" s="2"/>
      <c r="J42" s="2">
        <v>100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712.46</v>
      </c>
    </row>
    <row r="43" spans="1:17" s="35" customFormat="1" collapsed="1" x14ac:dyDescent="0.3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SUM(OSRRefD21_3x_4)</f>
        <v>229.39</v>
      </c>
      <c r="I43" s="1">
        <f>SUM(OSRRefD21_3x_5)</f>
        <v>278</v>
      </c>
      <c r="J43" s="1">
        <f>SUM(OSRRefE21_3x_0)</f>
        <v>1250</v>
      </c>
      <c r="K43" s="1">
        <f>SUM(OSRRefE21_3x_1)</f>
        <v>1250</v>
      </c>
      <c r="L43" s="1">
        <f>SUM(OSRRefE21_3x_2)</f>
        <v>1250</v>
      </c>
      <c r="M43" s="1">
        <f>SUM(OSRRefE21_3x_3)</f>
        <v>1250</v>
      </c>
      <c r="N43" s="1">
        <f>SUM(OSRRefE21_3x_4)</f>
        <v>1250</v>
      </c>
      <c r="O43" s="1">
        <f>SUM(OSRRefE21_3x_5)</f>
        <v>1250</v>
      </c>
      <c r="Q43" s="2">
        <f>SUM(OSRRefD20_3x)+IFERROR(SUM(OSRRefE20_3x),0)</f>
        <v>9310.5</v>
      </c>
    </row>
    <row r="44" spans="1:17" s="35" customFormat="1" hidden="1" outlineLevel="1" x14ac:dyDescent="0.3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229.39</v>
      </c>
      <c r="I44" s="2">
        <v>278</v>
      </c>
      <c r="J44" s="2">
        <v>1250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9310.5</v>
      </c>
    </row>
    <row r="45" spans="1:17" s="35" customFormat="1" collapsed="1" x14ac:dyDescent="0.3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SUM(OSRRefD21_4x_5)</f>
        <v>0</v>
      </c>
      <c r="J45" s="1">
        <f>SUM(OSRRefE21_4x_0)</f>
        <v>20</v>
      </c>
      <c r="K45" s="1">
        <f>SUM(OSRRefE21_4x_1)</f>
        <v>20</v>
      </c>
      <c r="L45" s="1">
        <f>SUM(OSRRefE21_4x_2)</f>
        <v>20</v>
      </c>
      <c r="M45" s="1">
        <f>SUM(OSRRefE21_4x_3)</f>
        <v>20</v>
      </c>
      <c r="N45" s="1">
        <f>SUM(OSRRefE21_4x_4)</f>
        <v>20</v>
      </c>
      <c r="O45" s="1">
        <f>SUM(OSRRefE21_4x_5)</f>
        <v>20</v>
      </c>
      <c r="Q45" s="2">
        <f>SUM(OSRRefD20_4x)+IFERROR(SUM(OSRRefE20_4x),0)</f>
        <v>120</v>
      </c>
    </row>
    <row r="46" spans="1:17" s="35" customFormat="1" hidden="1" outlineLevel="1" x14ac:dyDescent="0.3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/>
      <c r="J46" s="2">
        <v>20</v>
      </c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120</v>
      </c>
    </row>
    <row r="47" spans="1:17" s="35" customFormat="1" collapsed="1" x14ac:dyDescent="0.3">
      <c r="A47" s="34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SUM(OSRRefD21_5x_4)</f>
        <v>0</v>
      </c>
      <c r="I47" s="1">
        <f>SUM(OSRRefD21_5x_5)</f>
        <v>0</v>
      </c>
      <c r="J47" s="1">
        <f>SUM(OSRRefE21_5x_0)</f>
        <v>10</v>
      </c>
      <c r="K47" s="1">
        <f>SUM(OSRRefE21_5x_1)</f>
        <v>10</v>
      </c>
      <c r="L47" s="1">
        <f>SUM(OSRRefE21_5x_2)</f>
        <v>10</v>
      </c>
      <c r="M47" s="1">
        <f>SUM(OSRRefE21_5x_3)</f>
        <v>10</v>
      </c>
      <c r="N47" s="1">
        <f>SUM(OSRRefE21_5x_4)</f>
        <v>10</v>
      </c>
      <c r="O47" s="1">
        <f>SUM(OSRRefE21_5x_5)</f>
        <v>10</v>
      </c>
      <c r="Q47" s="2">
        <f>SUM(OSRRefD20_5x)+IFERROR(SUM(OSRRefE20_5x),0)</f>
        <v>60.62</v>
      </c>
    </row>
    <row r="48" spans="1:17" s="35" customFormat="1" hidden="1" outlineLevel="1" x14ac:dyDescent="0.3">
      <c r="A48" s="34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5" customFormat="1" hidden="1" outlineLevel="1" x14ac:dyDescent="0.3">
      <c r="A49" s="34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/>
      <c r="I49" s="2"/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60</v>
      </c>
    </row>
    <row r="50" spans="1:17" s="35" customFormat="1" collapsed="1" x14ac:dyDescent="0.3">
      <c r="A50" s="34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50</v>
      </c>
      <c r="K50" s="1">
        <f>SUM(OSRRefE21_6x_1)</f>
        <v>50</v>
      </c>
      <c r="L50" s="1">
        <f>SUM(OSRRefE21_6x_2)</f>
        <v>50</v>
      </c>
      <c r="M50" s="1">
        <f>SUM(OSRRefE21_6x_3)</f>
        <v>50</v>
      </c>
      <c r="N50" s="1">
        <f>SUM(OSRRefE21_6x_4)</f>
        <v>50</v>
      </c>
      <c r="O50" s="1">
        <f>SUM(OSRRefE21_6x_5)</f>
        <v>50</v>
      </c>
      <c r="Q50" s="2">
        <f>SUM(OSRRefD20_6x)+IFERROR(SUM(OSRRefE20_6x),0)</f>
        <v>300</v>
      </c>
    </row>
    <row r="51" spans="1:17" s="35" customFormat="1" hidden="1" outlineLevel="1" x14ac:dyDescent="0.3">
      <c r="A51" s="34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/>
      <c r="I51" s="2"/>
      <c r="J51" s="2">
        <v>50</v>
      </c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300</v>
      </c>
    </row>
    <row r="52" spans="1:17" s="35" customFormat="1" collapsed="1" x14ac:dyDescent="0.3">
      <c r="A52" s="34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SUM(OSRRefD21_7x_4)</f>
        <v>39.43</v>
      </c>
      <c r="I52" s="1">
        <f>SUM(OSRRefD21_7x_5)</f>
        <v>39.43</v>
      </c>
      <c r="J52" s="1">
        <f>SUM(OSRRefE21_7x_0)</f>
        <v>40</v>
      </c>
      <c r="K52" s="1">
        <f>SUM(OSRRefE21_7x_1)</f>
        <v>40</v>
      </c>
      <c r="L52" s="1">
        <f>SUM(OSRRefE21_7x_2)</f>
        <v>40</v>
      </c>
      <c r="M52" s="1">
        <f>SUM(OSRRefE21_7x_3)</f>
        <v>40</v>
      </c>
      <c r="N52" s="1">
        <f>SUM(OSRRefE21_7x_4)</f>
        <v>40</v>
      </c>
      <c r="O52" s="1">
        <f>SUM(OSRRefE21_7x_5)</f>
        <v>40</v>
      </c>
      <c r="Q52" s="2">
        <f>SUM(OSRRefD20_7x)+IFERROR(SUM(OSRRefE20_7x),0)</f>
        <v>476.58000000000004</v>
      </c>
    </row>
    <row r="53" spans="1:17" s="35" customFormat="1" hidden="1" outlineLevel="1" x14ac:dyDescent="0.3">
      <c r="A53" s="34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39.43</v>
      </c>
      <c r="I53" s="2">
        <v>39.43</v>
      </c>
      <c r="J53" s="2">
        <v>40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476.58000000000004</v>
      </c>
    </row>
    <row r="54" spans="1:17" s="35" customFormat="1" collapsed="1" x14ac:dyDescent="0.3">
      <c r="A54" s="34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SUM(OSRRefD21_8x_4)</f>
        <v>800</v>
      </c>
      <c r="I54" s="1">
        <f>SUM(OSRRefD21_8x_5)</f>
        <v>800</v>
      </c>
      <c r="J54" s="1">
        <f>SUM(OSRRefE21_8x_0)</f>
        <v>800</v>
      </c>
      <c r="K54" s="1">
        <f>SUM(OSRRefE21_8x_1)</f>
        <v>800</v>
      </c>
      <c r="L54" s="1">
        <f>SUM(OSRRefE21_8x_2)</f>
        <v>800</v>
      </c>
      <c r="M54" s="1">
        <f>SUM(OSRRefE21_8x_3)</f>
        <v>800</v>
      </c>
      <c r="N54" s="1">
        <f>SUM(OSRRefE21_8x_4)</f>
        <v>800</v>
      </c>
      <c r="O54" s="1">
        <f>SUM(OSRRefE21_8x_5)</f>
        <v>800</v>
      </c>
      <c r="Q54" s="2">
        <f>SUM(OSRRefD20_8x)+IFERROR(SUM(OSRRefE20_8x),0)</f>
        <v>9600</v>
      </c>
    </row>
    <row r="55" spans="1:17" s="35" customFormat="1" hidden="1" outlineLevel="1" x14ac:dyDescent="0.3">
      <c r="A55" s="34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5" customFormat="1" collapsed="1" x14ac:dyDescent="0.3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SUM(OSRRefE21_9x_0)</f>
        <v>3200</v>
      </c>
      <c r="K56" s="1">
        <f>SUM(OSRRefE21_9x_1)</f>
        <v>3200</v>
      </c>
      <c r="L56" s="1">
        <f>SUM(OSRRefE21_9x_2)</f>
        <v>3200</v>
      </c>
      <c r="M56" s="1">
        <f>SUM(OSRRefE21_9x_3)</f>
        <v>3200</v>
      </c>
      <c r="N56" s="1">
        <f>SUM(OSRRefE21_9x_4)</f>
        <v>3200</v>
      </c>
      <c r="O56" s="1">
        <f>SUM(OSRRefE21_9x_5)</f>
        <v>3200</v>
      </c>
      <c r="Q56" s="2">
        <f>SUM(OSRRefD20_9x)+IFERROR(SUM(OSRRefE20_9x),0)</f>
        <v>141200.62</v>
      </c>
    </row>
    <row r="57" spans="1:17" s="35" customFormat="1" hidden="1" outlineLevel="1" x14ac:dyDescent="0.3">
      <c r="A57" s="34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/>
      <c r="I57" s="2"/>
      <c r="J57" s="2">
        <v>3200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19200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5" customFormat="1" collapsed="1" x14ac:dyDescent="0.3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SUM(OSRRefE21_10x_0)</f>
        <v>85</v>
      </c>
      <c r="K59" s="1">
        <f>SUM(OSRRefE21_10x_1)</f>
        <v>85</v>
      </c>
      <c r="L59" s="1">
        <f>SUM(OSRRefE21_10x_2)</f>
        <v>85</v>
      </c>
      <c r="M59" s="1">
        <f>SUM(OSRRefE21_10x_3)</f>
        <v>85</v>
      </c>
      <c r="N59" s="1">
        <f>SUM(OSRRefE21_10x_4)</f>
        <v>85</v>
      </c>
      <c r="O59" s="1">
        <f>SUM(OSRRefE21_10x_5)</f>
        <v>85</v>
      </c>
      <c r="Q59" s="2">
        <f>SUM(OSRRefD20_10x)+IFERROR(SUM(OSRRefE20_10x),0)</f>
        <v>510</v>
      </c>
    </row>
    <row r="60" spans="1:17" s="35" customFormat="1" hidden="1" outlineLevel="1" x14ac:dyDescent="0.3">
      <c r="A60" s="34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/>
      <c r="I60" s="2"/>
      <c r="J60" s="2">
        <v>85</v>
      </c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510</v>
      </c>
    </row>
    <row r="61" spans="1:17" s="35" customFormat="1" collapsed="1" x14ac:dyDescent="0.3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SUM(OSRRefD21_11x_4)</f>
        <v>235.39</v>
      </c>
      <c r="I61" s="1">
        <f>SUM(OSRRefD21_11x_5)</f>
        <v>30.62</v>
      </c>
      <c r="J61" s="1">
        <f>SUM(OSRRefE21_11x_0)</f>
        <v>5800</v>
      </c>
      <c r="K61" s="1">
        <f>SUM(OSRRefE21_11x_1)</f>
        <v>5800</v>
      </c>
      <c r="L61" s="1">
        <f>SUM(OSRRefE21_11x_2)</f>
        <v>5800</v>
      </c>
      <c r="M61" s="1">
        <f>SUM(OSRRefE21_11x_3)</f>
        <v>5800</v>
      </c>
      <c r="N61" s="1">
        <f>SUM(OSRRefE21_11x_4)</f>
        <v>5800</v>
      </c>
      <c r="O61" s="1">
        <f>SUM(OSRRefE21_11x_5)</f>
        <v>5800</v>
      </c>
      <c r="Q61" s="2">
        <f>SUM(OSRRefD20_11x)+IFERROR(SUM(OSRRefE20_11x),0)</f>
        <v>50355.09</v>
      </c>
    </row>
    <row r="62" spans="1:17" s="35" customFormat="1" hidden="1" outlineLevel="1" x14ac:dyDescent="0.3">
      <c r="A62" s="34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/>
      <c r="I62" s="2"/>
      <c r="J62" s="2">
        <v>5800</v>
      </c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34800</v>
      </c>
    </row>
    <row r="63" spans="1:17" s="35" customFormat="1" hidden="1" outlineLevel="1" x14ac:dyDescent="0.3">
      <c r="A63" s="34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>
        <v>235.39</v>
      </c>
      <c r="I63" s="2">
        <v>30.62</v>
      </c>
      <c r="J63" s="2"/>
      <c r="K63" s="2"/>
      <c r="L63" s="2"/>
      <c r="M63" s="2"/>
      <c r="N63" s="2"/>
      <c r="O63" s="2"/>
      <c r="P63" s="9"/>
      <c r="Q63" s="2">
        <f>SUM(OSRRefD21_11_1x)+IFERROR(SUM(OSRRefE21_11_1x),0)</f>
        <v>15538.55</v>
      </c>
    </row>
    <row r="64" spans="1:17" s="35" customFormat="1" hidden="1" outlineLevel="1" x14ac:dyDescent="0.3">
      <c r="A64" s="34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5" customFormat="1" collapsed="1" x14ac:dyDescent="0.3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SUM(OSRRefD21_12x_4)</f>
        <v>90.85</v>
      </c>
      <c r="I65" s="1">
        <f>SUM(OSRRefD21_12x_5)</f>
        <v>90.15</v>
      </c>
      <c r="J65" s="1">
        <f>SUM(OSRRefE21_12x_0)</f>
        <v>350</v>
      </c>
      <c r="K65" s="1">
        <f>SUM(OSRRefE21_12x_1)</f>
        <v>350</v>
      </c>
      <c r="L65" s="1">
        <f>SUM(OSRRefE21_12x_2)</f>
        <v>350</v>
      </c>
      <c r="M65" s="1">
        <f>SUM(OSRRefE21_12x_3)</f>
        <v>350</v>
      </c>
      <c r="N65" s="1">
        <f>SUM(OSRRefE21_12x_4)</f>
        <v>350</v>
      </c>
      <c r="O65" s="1">
        <f>SUM(OSRRefE21_12x_5)</f>
        <v>350</v>
      </c>
      <c r="Q65" s="2">
        <f>SUM(OSRRefD20_12x)+IFERROR(SUM(OSRRefE20_12x),0)</f>
        <v>2205</v>
      </c>
    </row>
    <row r="66" spans="1:17" s="35" customFormat="1" hidden="1" outlineLevel="1" x14ac:dyDescent="0.3">
      <c r="A66" s="34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90.85</v>
      </c>
      <c r="I66" s="2">
        <v>90.15</v>
      </c>
      <c r="J66" s="2">
        <v>350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2205</v>
      </c>
    </row>
    <row r="67" spans="1:17" s="35" customFormat="1" collapsed="1" x14ac:dyDescent="0.3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SUM(OSRRefD21_13x_4)</f>
        <v>0</v>
      </c>
      <c r="I67" s="1">
        <f>SUM(OSRRefD21_13x_5)</f>
        <v>0</v>
      </c>
      <c r="J67" s="1">
        <f>SUM(OSRRefE21_13x_0)</f>
        <v>0</v>
      </c>
      <c r="K67" s="1">
        <f>SUM(OSRRefE21_13x_1)</f>
        <v>0</v>
      </c>
      <c r="L67" s="1">
        <f>SUM(OSRRefE21_13x_2)</f>
        <v>3000</v>
      </c>
      <c r="M67" s="1">
        <f>SUM(OSRRefE21_13x_3)</f>
        <v>1500</v>
      </c>
      <c r="N67" s="1">
        <f>SUM(OSRRefE21_13x_4)</f>
        <v>0</v>
      </c>
      <c r="O67" s="1">
        <f>SUM(OSRRefE21_13x_5)</f>
        <v>0</v>
      </c>
      <c r="Q67" s="2">
        <f>SUM(OSRRefD20_13x)+IFERROR(SUM(OSRRefE20_13x),0)</f>
        <v>6500</v>
      </c>
    </row>
    <row r="68" spans="1:17" s="35" customFormat="1" hidden="1" outlineLevel="1" x14ac:dyDescent="0.3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f>--620.46</f>
        <v>620.46</v>
      </c>
      <c r="I70" s="3">
        <f>--713.07</f>
        <v>713.07</v>
      </c>
      <c r="J70" s="3">
        <v>2400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20130.400000000001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3">IFERROR(+D15-D18+D70, 0)</f>
        <v>0.14000000001047397</v>
      </c>
      <c r="E72" s="7">
        <f t="shared" si="3"/>
        <v>67291.799999999988</v>
      </c>
      <c r="F72" s="7">
        <f t="shared" si="3"/>
        <v>-0.16000000000303771</v>
      </c>
      <c r="G72" s="7">
        <f t="shared" si="3"/>
        <v>-432.76000000000499</v>
      </c>
      <c r="H72" s="7">
        <f t="shared" si="3"/>
        <v>0.33000000000265572</v>
      </c>
      <c r="I72" s="7">
        <f t="shared" si="3"/>
        <v>-30657.85</v>
      </c>
      <c r="J72" s="7">
        <f t="shared" si="3"/>
        <v>4239.065598527879</v>
      </c>
      <c r="K72" s="7">
        <f t="shared" si="3"/>
        <v>3660.9013458223126</v>
      </c>
      <c r="L72" s="7">
        <f t="shared" si="3"/>
        <v>4001.9013458223126</v>
      </c>
      <c r="M72" s="7">
        <f t="shared" si="3"/>
        <v>4337.5972385278801</v>
      </c>
      <c r="N72" s="7">
        <f t="shared" si="3"/>
        <v>3514.6434708223096</v>
      </c>
      <c r="O72" s="7">
        <f t="shared" si="3"/>
        <v>10348.623430822314</v>
      </c>
      <c r="Q72" s="7">
        <f>IFERROR(+Q15-Q18+Q70, 0)</f>
        <v>66304.232430345</v>
      </c>
    </row>
    <row r="73" spans="1:17" s="6" customFormat="1" x14ac:dyDescent="0.3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2.0374143360045425E-5</v>
      </c>
      <c r="I73" s="4">
        <f t="shared" si="4"/>
        <v>2.0444018404907975</v>
      </c>
      <c r="J73" s="4">
        <f t="shared" si="4"/>
        <v>0.10220772992231172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0.12687644100879467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2944.24</v>
      </c>
      <c r="I75" s="3">
        <v>-1421.65</v>
      </c>
      <c r="J75" s="3">
        <v>3669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55395.119999999988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5">IFERROR(+D72-D75, 0)</f>
        <v>-67291.869999999981</v>
      </c>
      <c r="E77" s="8">
        <f t="shared" si="5"/>
        <v>99339.729999999981</v>
      </c>
      <c r="F77" s="8">
        <f t="shared" si="5"/>
        <v>3895.2699999999968</v>
      </c>
      <c r="G77" s="8">
        <f t="shared" si="5"/>
        <v>-2414.6400000000049</v>
      </c>
      <c r="H77" s="8">
        <f t="shared" si="5"/>
        <v>-2943.9099999999971</v>
      </c>
      <c r="I77" s="8">
        <f t="shared" si="5"/>
        <v>-29236.199999999997</v>
      </c>
      <c r="J77" s="8">
        <f t="shared" si="5"/>
        <v>570.06559852787905</v>
      </c>
      <c r="K77" s="8">
        <f t="shared" si="5"/>
        <v>524.90134582231258</v>
      </c>
      <c r="L77" s="8">
        <f t="shared" si="5"/>
        <v>-560.09865417768742</v>
      </c>
      <c r="M77" s="8">
        <f t="shared" si="5"/>
        <v>-1478.4027614721199</v>
      </c>
      <c r="N77" s="8">
        <f t="shared" si="5"/>
        <v>-1245.3565291776904</v>
      </c>
      <c r="O77" s="8">
        <f t="shared" si="5"/>
        <v>11749.623430822314</v>
      </c>
      <c r="Q77" s="8">
        <f>IFERROR(+Q72-Q75, 0)</f>
        <v>10909.112430345012</v>
      </c>
    </row>
    <row r="78" spans="1:17" ht="15" thickTop="1" x14ac:dyDescent="0.3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-0.18175649811693506</v>
      </c>
      <c r="I78" s="4">
        <f t="shared" si="6"/>
        <v>1.949599893304881</v>
      </c>
      <c r="J78" s="4">
        <f t="shared" si="6"/>
        <v>1.3744800446724027E-2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2.0875128313732231E-2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7">IFERROR(SUM(D77:D80), 0)</f>
        <v>-67292.331994919485</v>
      </c>
      <c r="E81" s="8">
        <f t="shared" si="7"/>
        <v>99340.831364014302</v>
      </c>
      <c r="F81" s="8">
        <f t="shared" si="7"/>
        <v>3895.4936347456623</v>
      </c>
      <c r="G81" s="8">
        <f t="shared" si="7"/>
        <v>-2414.7088382700963</v>
      </c>
      <c r="H81" s="8">
        <f t="shared" si="7"/>
        <v>-2944.0917564981141</v>
      </c>
      <c r="I81" s="8">
        <f t="shared" si="7"/>
        <v>-29234.250400106692</v>
      </c>
      <c r="J81" s="8">
        <f t="shared" si="7"/>
        <v>570.07934332832576</v>
      </c>
      <c r="K81" s="8">
        <f t="shared" si="7"/>
        <v>524.91600132113501</v>
      </c>
      <c r="L81" s="8">
        <f t="shared" si="7"/>
        <v>-560.11295809918749</v>
      </c>
      <c r="M81" s="8">
        <f t="shared" si="7"/>
        <v>-1478.4375933155247</v>
      </c>
      <c r="N81" s="8">
        <f t="shared" si="7"/>
        <v>-1245.392747195116</v>
      </c>
      <c r="O81" s="8">
        <f t="shared" si="7"/>
        <v>11749.918914763337</v>
      </c>
      <c r="Q81" s="8">
        <f>IFERROR(SUM(Q77:Q80), 0)</f>
        <v>10909.133305473326</v>
      </c>
    </row>
    <row r="82" spans="1:17" ht="15" thickTop="1" x14ac:dyDescent="0.3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-0.1817677197319327</v>
      </c>
      <c r="I82" s="4">
        <f t="shared" si="8"/>
        <v>1.949469885309862</v>
      </c>
      <c r="J82" s="4">
        <f t="shared" si="8"/>
        <v>1.3745131846373135E-2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2.0875168259326785E-2</v>
      </c>
    </row>
    <row r="83" spans="1:17" x14ac:dyDescent="0.3">
      <c r="A83" s="5"/>
      <c r="B83" s="28">
        <v>44575.850692245367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26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A85" s="5"/>
      <c r="B85" s="3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2" t="s">
        <v>23</v>
      </c>
    </row>
    <row r="3" spans="1:8" x14ac:dyDescent="0.3">
      <c r="B3" s="32" t="s">
        <v>122</v>
      </c>
    </row>
    <row r="4" spans="1:8" x14ac:dyDescent="0.3">
      <c r="B4" s="30" t="s">
        <v>200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8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1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95</vt:i4>
      </vt:variant>
      <vt:variant>
        <vt:lpstr>Named Ranges</vt:lpstr>
      </vt:variant>
      <vt:variant>
        <vt:i4>15845</vt:i4>
      </vt:variant>
    </vt:vector>
  </HeadingPairs>
  <TitlesOfParts>
    <vt:vector size="15940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455</vt:lpstr>
      <vt:lpstr>425</vt:lpstr>
      <vt:lpstr>492</vt:lpstr>
      <vt:lpstr>430</vt:lpstr>
      <vt:lpstr>433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'415'!OSRRefD11_0x</vt:lpstr>
      <vt:lpstr>'418'!OSRRefD11_0x</vt:lpstr>
      <vt:lpstr>'425'!OSRRefD11_0x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Summary!OSRRefD11_10x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'330'!OSRRefD11_2x</vt:lpstr>
      <vt:lpstr>'331'!OSRRefD11_2x</vt:lpstr>
      <vt:lpstr>'332'!OSRRefD11_2x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'330'!OSRRefD11_3x</vt:lpstr>
      <vt:lpstr>'331'!OSRRefD11_3x</vt:lpstr>
      <vt:lpstr>'332'!OSRRefD11_3x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 &amp; 491'!OSRRefD11_5x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Summary!OSRRefD11_6x</vt:lpstr>
      <vt:lpstr>'Div 3'!OSRRefD11_7x</vt:lpstr>
      <vt:lpstr>Summary!OSRRefD11_7x</vt:lpstr>
      <vt:lpstr>'Div 3'!OSRRefD11_8x</vt:lpstr>
      <vt:lpstr>Summary!OSRRefD11_8x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'415'!OSRRefD11x_0</vt:lpstr>
      <vt:lpstr>'418'!OSRRefD11x_0</vt:lpstr>
      <vt:lpstr>'425'!OSRRefD11x_0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'415'!OSRRefD11x_1</vt:lpstr>
      <vt:lpstr>'418'!OSRRefD11x_1</vt:lpstr>
      <vt:lpstr>'425'!OSRRefD11x_1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'415'!OSRRefD11x_2</vt:lpstr>
      <vt:lpstr>'418'!OSRRefD11x_2</vt:lpstr>
      <vt:lpstr>'425'!OSRRefD11x_2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'415'!OSRRefD11x_3</vt:lpstr>
      <vt:lpstr>'418'!OSRRefD11x_3</vt:lpstr>
      <vt:lpstr>'425'!OSRRefD11x_3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'324'!OSRRefD11x_4</vt:lpstr>
      <vt:lpstr>'325'!OSRRefD11x_4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'415'!OSRRefD11x_4</vt:lpstr>
      <vt:lpstr>'418'!OSRRefD11x_4</vt:lpstr>
      <vt:lpstr>'425'!OSRRefD11x_4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'324'!OSRRefD11x_5</vt:lpstr>
      <vt:lpstr>'325'!OSRRefD11x_5</vt:lpstr>
      <vt:lpstr>'326'!OSRRefD11x_5</vt:lpstr>
      <vt:lpstr>'327'!OSRRefD11x_5</vt:lpstr>
      <vt:lpstr>'330'!OSRRefD11x_5</vt:lpstr>
      <vt:lpstr>'331'!OSRRefD11x_5</vt:lpstr>
      <vt:lpstr>'332'!OSRRefD11x_5</vt:lpstr>
      <vt:lpstr>'405'!OSRRefD11x_5</vt:lpstr>
      <vt:lpstr>'415'!OSRRefD11x_5</vt:lpstr>
      <vt:lpstr>'418'!OSRRefD11x_5</vt:lpstr>
      <vt:lpstr>'425'!OSRRefD11x_5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'300'!OSRRefD14_0x</vt:lpstr>
      <vt:lpstr>'300 &amp; 317'!OSRRefD14_0x</vt:lpstr>
      <vt:lpstr>'301'!OSRRefD14_0x</vt:lpstr>
      <vt:lpstr>'307'!OSRRefD14_0x</vt:lpstr>
      <vt:lpstr>'308'!OSRRefD14_0x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'316'!OSRRefD14_1x</vt:lpstr>
      <vt:lpstr>'317'!OSRRefD14_1x</vt:lpstr>
      <vt:lpstr>'321'!OSRRefD14_1x</vt:lpstr>
      <vt:lpstr>'325'!OSRRefD14_1x</vt:lpstr>
      <vt:lpstr>'326'!OSRRefD14_1x</vt:lpstr>
      <vt:lpstr>'327'!OSRRefD14_1x</vt:lpstr>
      <vt:lpstr>'330'!OSRRefD14_1x</vt:lpstr>
      <vt:lpstr>'331'!OSRRefD14_1x</vt:lpstr>
      <vt:lpstr>'332'!OSRRefD14_1x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'330'!OSRRefD14_2x</vt:lpstr>
      <vt:lpstr>'331'!OSRRefD14_2x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'330'!OSRRefD14_8x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'330'!OSRRefD14_9x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'301'!OSRRefD14x_2</vt:lpstr>
      <vt:lpstr>'307'!OSRRefD14x_2</vt:lpstr>
      <vt:lpstr>'308'!OSRRefD14x_2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'332'!OSRRefD14x_3</vt:lpstr>
      <vt:lpstr>'405'!OSRRefD14x_3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'310'!OSRRefD14x_4</vt:lpstr>
      <vt:lpstr>'310 &amp; 491'!OSRRefD14x_4</vt:lpstr>
      <vt:lpstr>'311'!OSRRefD14x_4</vt:lpstr>
      <vt:lpstr>'315'!OSRRefD14x_4</vt:lpstr>
      <vt:lpstr>'316'!OSRRefD14x_4</vt:lpstr>
      <vt:lpstr>'317'!OSRRefD14x_4</vt:lpstr>
      <vt:lpstr>'321'!OSRRefD14x_4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'332'!OSRRefD14x_4</vt:lpstr>
      <vt:lpstr>'405'!OSRRefD14x_4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'310'!OSRRefD14x_5</vt:lpstr>
      <vt:lpstr>'310 &amp; 491'!OSRRefD14x_5</vt:lpstr>
      <vt:lpstr>'311'!OSRRefD14x_5</vt:lpstr>
      <vt:lpstr>'315'!OSRRefD14x_5</vt:lpstr>
      <vt:lpstr>'316'!OSRRefD14x_5</vt:lpstr>
      <vt:lpstr>'317'!OSRRefD14x_5</vt:lpstr>
      <vt:lpstr>'321'!OSRRefD14x_5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'332'!OSRRefD14x_5</vt:lpstr>
      <vt:lpstr>'405'!OSRRefD14x_5</vt:lpstr>
      <vt:lpstr>'415'!OSRRefD14x_5</vt:lpstr>
      <vt:lpstr>'418'!OSRRefD14x_5</vt:lpstr>
      <vt:lpstr>'425'!OSRRefD14x_5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'321'!OSRRefD20_10x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'330'!OSRRefD20_11x</vt:lpstr>
      <vt:lpstr>'331'!OSRRefD20_11x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'310'!OSRRefD20_13x</vt:lpstr>
      <vt:lpstr>'310 &amp; 491'!OSRRefD20_13x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'405'!OSRRefD20_16x</vt:lpstr>
      <vt:lpstr>'415'!OSRRefD20_16x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'315'!OSRRefD20_17x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'331'!OSRRefD20_21x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'411'!OSRRefD20_3x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'204'!OSRRefD20_9x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'423'!OSRRefD20x_4</vt:lpstr>
      <vt:lpstr>'424'!OSRRefD20x_4</vt:lpstr>
      <vt:lpstr>'425'!OSRRefD20x_4</vt:lpstr>
      <vt:lpstr>'430'!OSRRefD20x_4</vt:lpstr>
      <vt:lpstr>'433'!OSRRefD20x_4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'423'!OSRRefD20x_5</vt:lpstr>
      <vt:lpstr>'424'!OSRRefD20x_5</vt:lpstr>
      <vt:lpstr>'425'!OSRRefD20x_5</vt:lpstr>
      <vt:lpstr>'430'!OSRRefD20x_5</vt:lpstr>
      <vt:lpstr>'433'!OSRRefD20x_5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'321'!OSRRefD21_10_0x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'330'!OSRRefD21_10_1x</vt:lpstr>
      <vt:lpstr>'405'!OSRRefD21_10_1x</vt:lpstr>
      <vt:lpstr>'Div 3'!OSRRefD21_10_1x</vt:lpstr>
      <vt:lpstr>Summary!OSRRefD21_10_1x</vt:lpstr>
      <vt:lpstr>'405'!OSRRefD21_10_2x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'321'!OSRRefD21_10x_0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'321'!OSRRefD21_10x_1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'321'!OSRRefD21_10x_2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'321'!OSRRefD21_10x_3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'321'!OSRRefD21_10x_4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Summary!OSRRefD21_10x_4</vt:lpstr>
      <vt:lpstr>'201'!OSRRefD21_10x_5</vt:lpstr>
      <vt:lpstr>'202'!OSRRefD21_10x_5</vt:lpstr>
      <vt:lpstr>'203'!OSRRefD21_10x_5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'321'!OSRRefD21_10x_5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'405'!OSRRefD21_10x_5</vt:lpstr>
      <vt:lpstr>'411'!OSRRefD21_10x_5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Summary!OSRRefD21_10x_5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'307'!OSRRefD21_11_1x</vt:lpstr>
      <vt:lpstr>'308'!OSRRefD21_11_1x</vt:lpstr>
      <vt:lpstr>'310'!OSRRefD21_11_1x</vt:lpstr>
      <vt:lpstr>'311'!OSRRefD21_11_1x</vt:lpstr>
      <vt:lpstr>'325'!OSRRefD21_11_1x</vt:lpstr>
      <vt:lpstr>'326'!OSRRefD21_11_1x</vt:lpstr>
      <vt:lpstr>'330'!OSRRefD21_11_1x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5'!OSRRefD21_11_1x</vt:lpstr>
      <vt:lpstr>Summary!OSRRefD21_11_1x</vt:lpstr>
      <vt:lpstr>'203'!OSRRefD21_11_2x</vt:lpstr>
      <vt:lpstr>'307'!OSRRefD21_11_2x</vt:lpstr>
      <vt:lpstr>'330'!OSRRefD21_11_2x</vt:lpstr>
      <vt:lpstr>'418'!OSRRefD21_11_2x</vt:lpstr>
      <vt:lpstr>'433'!OSRRefD21_11_2x</vt:lpstr>
      <vt:lpstr>'501'!OSRRefD21_11_2x</vt:lpstr>
      <vt:lpstr>'Div 5'!OSRRefD21_11_2x</vt:lpstr>
      <vt:lpstr>'203'!OSRRefD21_11_3x</vt:lpstr>
      <vt:lpstr>'307'!OSRRefD21_11_3x</vt:lpstr>
      <vt:lpstr>'330'!OSRRefD21_11_3x</vt:lpstr>
      <vt:lpstr>'418'!OSRRefD21_11_3x</vt:lpstr>
      <vt:lpstr>'418'!OSRRefD21_11_4x</vt:lpstr>
      <vt:lpstr>'418'!OSRRefD21_11_5x</vt:lpstr>
      <vt:lpstr>'418'!OSRRefD21_11_6x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'405'!OSRRefD21_11x_4</vt:lpstr>
      <vt:lpstr>'411'!OSRRefD21_11x_4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'405'!OSRRefD21_11x_5</vt:lpstr>
      <vt:lpstr>'411'!OSRRefD21_11x_5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Summary!OSRRefD21_11x_5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'310 &amp; 491'!OSRRefD21_12_1x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'310 &amp; 491'!OSRRefD21_12_3x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'491'!OSRRefD21_12_3x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'325'!OSRRefD21_12x_4</vt:lpstr>
      <vt:lpstr>'326'!OSRRefD21_12x_4</vt:lpstr>
      <vt:lpstr>'330'!OSRRefD21_12x_4</vt:lpstr>
      <vt:lpstr>'331'!OSRRefD21_12x_4</vt:lpstr>
      <vt:lpstr>'405'!OSRRefD21_12x_4</vt:lpstr>
      <vt:lpstr>'411'!OSRRefD21_12x_4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'325'!OSRRefD21_12x_5</vt:lpstr>
      <vt:lpstr>'326'!OSRRefD21_12x_5</vt:lpstr>
      <vt:lpstr>'330'!OSRRefD21_12x_5</vt:lpstr>
      <vt:lpstr>'331'!OSRRefD21_12x_5</vt:lpstr>
      <vt:lpstr>'405'!OSRRefD21_12x_5</vt:lpstr>
      <vt:lpstr>'411'!OSRRefD21_12x_5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Summary!OSRRefD21_12x_5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'310'!OSRRefD21_13_0x</vt:lpstr>
      <vt:lpstr>'310 &amp; 491'!OSRRefD21_13_0x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'433'!OSRRefD21_13_1x</vt:lpstr>
      <vt:lpstr>'444'!OSRRefD21_13_1x</vt:lpstr>
      <vt:lpstr>'450'!OSRRefD21_13_1x</vt:lpstr>
      <vt:lpstr>'492'!OSRRefD21_13_1x</vt:lpstr>
      <vt:lpstr>'Div 2'!OSRRefD21_13_1x</vt:lpstr>
      <vt:lpstr>'310'!OSRRefD21_13_2x</vt:lpstr>
      <vt:lpstr>'315'!OSRRefD21_13_2x</vt:lpstr>
      <vt:lpstr>'325'!OSRRefD21_13_2x</vt:lpstr>
      <vt:lpstr>'433'!OSRRefD21_13_2x</vt:lpstr>
      <vt:lpstr>'444'!OSRRefD21_13_2x</vt:lpstr>
      <vt:lpstr>'450'!OSRRefD21_13_2x</vt:lpstr>
      <vt:lpstr>'492'!OSRRefD21_13_2x</vt:lpstr>
      <vt:lpstr>'Div 2'!OSRRefD21_13_2x</vt:lpstr>
      <vt:lpstr>'325'!OSRRefD21_13_3x</vt:lpstr>
      <vt:lpstr>'433'!OSRRefD21_13_3x</vt:lpstr>
      <vt:lpstr>'444'!OSRRefD21_13_3x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'444'!OSRRefD21_13_4x</vt:lpstr>
      <vt:lpstr>'450'!OSRRefD21_13_4x</vt:lpstr>
      <vt:lpstr>'433'!OSRRefD21_13_5x</vt:lpstr>
      <vt:lpstr>'444'!OSRRefD21_13_5x</vt:lpstr>
      <vt:lpstr>'450'!OSRRefD21_13_5x</vt:lpstr>
      <vt:lpstr>'433'!OSRRefD21_13_6x</vt:lpstr>
      <vt:lpstr>'444'!OSRRefD21_13_6x</vt:lpstr>
      <vt:lpstr>'450'!OSRRefD21_13_6x</vt:lpstr>
      <vt:lpstr>'433'!OSRRefD21_13_7x</vt:lpstr>
      <vt:lpstr>'444'!OSRRefD21_13_7x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'310'!OSRRefD21_13x_0</vt:lpstr>
      <vt:lpstr>'310 &amp; 491'!OSRRefD21_13x_0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'310'!OSRRefD21_13x_1</vt:lpstr>
      <vt:lpstr>'310 &amp; 491'!OSRRefD21_13x_1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'310'!OSRRefD21_13x_2</vt:lpstr>
      <vt:lpstr>'310 &amp; 491'!OSRRefD21_13x_2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'310'!OSRRefD21_13x_3</vt:lpstr>
      <vt:lpstr>'310 &amp; 491'!OSRRefD21_13x_3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'310'!OSRRefD21_13x_4</vt:lpstr>
      <vt:lpstr>'310 &amp; 491'!OSRRefD21_13x_4</vt:lpstr>
      <vt:lpstr>'315'!OSRRefD21_13x_4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'310'!OSRRefD21_13x_5</vt:lpstr>
      <vt:lpstr>'310 &amp; 491'!OSRRefD21_13x_5</vt:lpstr>
      <vt:lpstr>'315'!OSRRefD21_13x_5</vt:lpstr>
      <vt:lpstr>'325'!OSRRefD21_13x_5</vt:lpstr>
      <vt:lpstr>'326'!OSRRefD21_13x_5</vt:lpstr>
      <vt:lpstr>'331'!OSRRefD21_13x_5</vt:lpstr>
      <vt:lpstr>'405'!OSRRefD21_13x_5</vt:lpstr>
      <vt:lpstr>'411'!OSRRefD21_13x_5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'491'!OSRRefD21_14_1x</vt:lpstr>
      <vt:lpstr>'492'!OSRRefD21_14_1x</vt:lpstr>
      <vt:lpstr>'Div 2'!OSRRefD21_14_1x</vt:lpstr>
      <vt:lpstr>'Div 4'!OSRRefD21_14_1x</vt:lpstr>
      <vt:lpstr>'310'!OSRRefD21_14_2x</vt:lpstr>
      <vt:lpstr>'310 &amp; 491'!OSRRefD21_14_2x</vt:lpstr>
      <vt:lpstr>'326'!OSRRefD21_14_2x</vt:lpstr>
      <vt:lpstr>'415'!OSRRefD21_14_2x</vt:lpstr>
      <vt:lpstr>'491'!OSRRefD21_14_2x</vt:lpstr>
      <vt:lpstr>'492'!OSRRefD21_14_2x</vt:lpstr>
      <vt:lpstr>'Div 4'!OSRRefD21_14_2x</vt:lpstr>
      <vt:lpstr>'310'!OSRRefD21_14_3x</vt:lpstr>
      <vt:lpstr>'310 &amp; 491'!OSRRefD21_14_3x</vt:lpstr>
      <vt:lpstr>'415'!OSRRefD21_14_3x</vt:lpstr>
      <vt:lpstr>'491'!OSRRefD21_14_3x</vt:lpstr>
      <vt:lpstr>'492'!OSRRefD21_14_3x</vt:lpstr>
      <vt:lpstr>'Div 4'!OSRRefD21_14_3x</vt:lpstr>
      <vt:lpstr>'310'!OSRRefD21_14_4x</vt:lpstr>
      <vt:lpstr>'310 &amp; 491'!OSRRefD21_14_4x</vt:lpstr>
      <vt:lpstr>'415'!OSRRefD21_14_4x</vt:lpstr>
      <vt:lpstr>'491'!OSRRefD21_14_4x</vt:lpstr>
      <vt:lpstr>'492'!OSRRefD21_14_4x</vt:lpstr>
      <vt:lpstr>'492'!OSRRefD21_14_5x</vt:lpstr>
      <vt:lpstr>'492'!OSRRefD21_14_6x</vt:lpstr>
      <vt:lpstr>'492'!OSRRefD21_14_7x</vt:lpstr>
      <vt:lpstr>'201'!OSRRefD21_14x_0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'415'!OSRRefD21_14x_4</vt:lpstr>
      <vt:lpstr>'418'!OSRRefD21_14x_4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'405'!OSRRefD21_14x_5</vt:lpstr>
      <vt:lpstr>'411'!OSRRefD21_14x_5</vt:lpstr>
      <vt:lpstr>'415'!OSRRefD21_14x_5</vt:lpstr>
      <vt:lpstr>'418'!OSRRefD21_14x_5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'315'!OSRRefD21_15_1x</vt:lpstr>
      <vt:lpstr>'331'!OSRRefD21_15_1x</vt:lpstr>
      <vt:lpstr>'415'!OSRRefD21_15_1x</vt:lpstr>
      <vt:lpstr>'492'!OSRRefD21_15_1x</vt:lpstr>
      <vt:lpstr>'301'!OSRRefD21_15_2x</vt:lpstr>
      <vt:lpstr>'315'!OSRRefD21_15_2x</vt:lpstr>
      <vt:lpstr>'331'!OSRRefD21_15_2x</vt:lpstr>
      <vt:lpstr>'301'!OSRRefD21_15_3x</vt:lpstr>
      <vt:lpstr>'315'!OSRRefD21_15_3x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'418'!OSRRefD21_15x_1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'418'!OSRRefD21_15x_2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'415'!OSRRefD21_15x_3</vt:lpstr>
      <vt:lpstr>'418'!OSRRefD21_15x_3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'405'!OSRRefD21_15x_4</vt:lpstr>
      <vt:lpstr>'415'!OSRRefD21_15x_4</vt:lpstr>
      <vt:lpstr>'418'!OSRRefD21_15x_4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'405'!OSRRefD21_15x_5</vt:lpstr>
      <vt:lpstr>'415'!OSRRefD21_15x_5</vt:lpstr>
      <vt:lpstr>'418'!OSRRefD21_15x_5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'405'!OSRRefD21_16_0x</vt:lpstr>
      <vt:lpstr>'415'!OSRRefD21_16_0x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'326'!OSRRefD21_16_1x</vt:lpstr>
      <vt:lpstr>'331'!OSRRefD21_16_1x</vt:lpstr>
      <vt:lpstr>'491'!OSRRefD21_16_1x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'Div 4'!OSRRefD21_16_3x</vt:lpstr>
      <vt:lpstr>'310 &amp; 491'!OSRRefD21_16_4x</vt:lpstr>
      <vt:lpstr>'491'!OSRRefD21_16_4x</vt:lpstr>
      <vt:lpstr>'Div 2'!OSRRefD21_16_4x</vt:lpstr>
      <vt:lpstr>'Div 4'!OSRRefD21_16_4x</vt:lpstr>
      <vt:lpstr>'310 &amp; 491'!OSRRefD21_16_5x</vt:lpstr>
      <vt:lpstr>'491'!OSRRefD21_16_5x</vt:lpstr>
      <vt:lpstr>'310 &amp; 491'!OSRRefD21_16_6x</vt:lpstr>
      <vt:lpstr>'491'!OSRRefD21_16_6x</vt:lpstr>
      <vt:lpstr>'310 &amp; 491'!OSRRefD21_16_7x</vt:lpstr>
      <vt:lpstr>'491'!OSRRefD21_16_7x</vt:lpstr>
      <vt:lpstr>'310 &amp; 491'!OSRRefD21_16_8x</vt:lpstr>
      <vt:lpstr>'491'!OSRRefD21_16_8x</vt:lpstr>
      <vt:lpstr>'310 &amp; 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'405'!OSRRefD21_16x_0</vt:lpstr>
      <vt:lpstr>'415'!OSRRefD21_16x_0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'405'!OSRRefD21_16x_1</vt:lpstr>
      <vt:lpstr>'415'!OSRRefD21_16x_1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'405'!OSRRefD21_16x_2</vt:lpstr>
      <vt:lpstr>'415'!OSRRefD21_16x_2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'405'!OSRRefD21_16x_3</vt:lpstr>
      <vt:lpstr>'415'!OSRRefD21_16x_3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'405'!OSRRefD21_16x_4</vt:lpstr>
      <vt:lpstr>'415'!OSRRefD21_16x_4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'405'!OSRRefD21_16x_5</vt:lpstr>
      <vt:lpstr>'415'!OSRRefD21_16x_5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'315'!OSRRefD21_17_0x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'491'!OSRRefD21_17_1x</vt:lpstr>
      <vt:lpstr>'492'!OSRRefD21_17_1x</vt:lpstr>
      <vt:lpstr>'Div 2'!OSRRefD21_17_1x</vt:lpstr>
      <vt:lpstr>'Div 3'!OSRRefD21_17_1x</vt:lpstr>
      <vt:lpstr>'300'!OSRRefD21_17_2x</vt:lpstr>
      <vt:lpstr>'300 &amp; 317'!OSRRefD21_17_2x</vt:lpstr>
      <vt:lpstr>'Div 3'!OSRRefD21_17_2x</vt:lpstr>
      <vt:lpstr>'300'!OSRRefD21_17_3x</vt:lpstr>
      <vt:lpstr>'300 &amp; 317'!OSRRefD21_17_3x</vt:lpstr>
      <vt:lpstr>'Div 3'!OSRRefD21_17_3x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'315'!OSRRefD21_17x_0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'315'!OSRRefD21_17x_1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'315'!OSRRefD21_17x_2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'315'!OSRRefD21_17x_3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'315'!OSRRefD21_17x_4</vt:lpstr>
      <vt:lpstr>'326'!OSRRefD21_17x_4</vt:lpstr>
      <vt:lpstr>'331'!OSRRefD21_17x_4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'315'!OSRRefD21_17x_5</vt:lpstr>
      <vt:lpstr>'326'!OSRRefD21_17x_5</vt:lpstr>
      <vt:lpstr>'331'!OSRRefD21_17x_5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'331'!OSRRefD21_18_1x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'331'!OSRRefD21_18_2x</vt:lpstr>
      <vt:lpstr>'Div 3'!OSRRefD21_18_2x</vt:lpstr>
      <vt:lpstr>'Div 4'!OSRRefD21_18_2x</vt:lpstr>
      <vt:lpstr>Summary!OSRRefD21_18_2x</vt:lpstr>
      <vt:lpstr>'301'!OSRRefD21_18_3x</vt:lpstr>
      <vt:lpstr>'331'!OSRRefD21_18_3x</vt:lpstr>
      <vt:lpstr>'Div 3'!OSRRefD21_18_3x</vt:lpstr>
      <vt:lpstr>'Div 4'!OSRRefD21_18_3x</vt:lpstr>
      <vt:lpstr>Summary!OSRRefD21_18_3x</vt:lpstr>
      <vt:lpstr>'301'!OSRRefD21_18_4x</vt:lpstr>
      <vt:lpstr>'331'!OSRRefD21_18_4x</vt:lpstr>
      <vt:lpstr>'Div 4'!OSRRefD21_18_4x</vt:lpstr>
      <vt:lpstr>'301'!OSRRefD21_18_5x</vt:lpstr>
      <vt:lpstr>'Div 4'!OSRRefD21_18_5x</vt:lpstr>
      <vt:lpstr>'Div 4'!OSRRefD21_18_6x</vt:lpstr>
      <vt:lpstr>'Div 4'!OSRRefD21_18_7x</vt:lpstr>
      <vt:lpstr>'Div 4'!OSRRefD21_18_8x</vt:lpstr>
      <vt:lpstr>'Div 4'!OSRRefD21_18_9x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'491'!OSRRefD21_18x_1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'331'!OSRRefD21_18x_2</vt:lpstr>
      <vt:lpstr>'491'!OSRRefD21_18x_2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'331'!OSRRefD21_18x_3</vt:lpstr>
      <vt:lpstr>'491'!OSRRefD21_18x_3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'331'!OSRRefD21_18x_4</vt:lpstr>
      <vt:lpstr>'491'!OSRRefD21_18x_4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'331'!OSRRefD21_18x_5</vt:lpstr>
      <vt:lpstr>'491'!OSRRefD21_18x_5</vt:lpstr>
      <vt:lpstr>'Div 2'!OSRRefD21_18x_5</vt:lpstr>
      <vt:lpstr>'Div 3'!OSRRefD21_18x_5</vt:lpstr>
      <vt:lpstr>'Div 4'!OSRRefD21_18x_5</vt:lpstr>
      <vt:lpstr>Summary!OSRRefD21_18x_5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'325'!OSRRefD21_1x_4</vt:lpstr>
      <vt:lpstr>'326'!OSRRefD21_1x_4</vt:lpstr>
      <vt:lpstr>'330'!OSRRefD21_1x_4</vt:lpstr>
      <vt:lpstr>'331'!OSRRefD21_1x_4</vt:lpstr>
      <vt:lpstr>'332'!OSRRefD21_1x_4</vt:lpstr>
      <vt:lpstr>'405'!OSRRefD21_1x_4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'325'!OSRRefD21_1x_5</vt:lpstr>
      <vt:lpstr>'326'!OSRRefD21_1x_5</vt:lpstr>
      <vt:lpstr>'330'!OSRRefD21_1x_5</vt:lpstr>
      <vt:lpstr>'331'!OSRRefD21_1x_5</vt:lpstr>
      <vt:lpstr>'332'!OSRRefD21_1x_5</vt:lpstr>
      <vt:lpstr>'405'!OSRRefD21_1x_5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'331'!OSRRefD21_20_1x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'491'!OSRRefD21_20x_5</vt:lpstr>
      <vt:lpstr>'Div 3'!OSRRefD21_20x_5</vt:lpstr>
      <vt:lpstr>'Div 4'!OSRRefD21_20x_5</vt:lpstr>
      <vt:lpstr>Summary!OSRRefD21_20x_5</vt:lpstr>
      <vt:lpstr>'300'!OSRRefD21_21_0x</vt:lpstr>
      <vt:lpstr>'300 &amp; 317'!OSRRefD21_21_0x</vt:lpstr>
      <vt:lpstr>'301'!OSRRefD21_21_0x</vt:lpstr>
      <vt:lpstr>'331'!OSRRefD21_21_0x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'331'!OSRRefD21_21x_0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'331'!OSRRefD21_21x_1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'331'!OSRRefD21_21x_2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'331'!OSRRefD21_21x_3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'331'!OSRRefD21_21x_4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'331'!OSRRefD21_21x_5</vt:lpstr>
      <vt:lpstr>'Div 3'!OSRRefD21_21x_5</vt:lpstr>
      <vt:lpstr>'Div 4'!OSRRefD21_21x_5</vt:lpstr>
      <vt:lpstr>Summary!OSRRefD21_21x_5</vt:lpstr>
      <vt:lpstr>'300'!OSRRefD21_22_0x</vt:lpstr>
      <vt:lpstr>'300 &amp; 317'!OSRRefD21_22_0x</vt:lpstr>
      <vt:lpstr>'301'!OSRRefD21_22_0x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'301'!OSRRefD21_22x_2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'301'!OSRRefD21_22x_5</vt:lpstr>
      <vt:lpstr>'Div 3'!OSRRefD21_22x_5</vt:lpstr>
      <vt:lpstr>'Div 4'!OSRRefD21_22x_5</vt:lpstr>
      <vt:lpstr>Summary!OSRRefD21_22x_5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'300'!OSRRefD21_23x_4</vt:lpstr>
      <vt:lpstr>'300 &amp; 317'!OSRRefD21_23x_4</vt:lpstr>
      <vt:lpstr>'Div 3'!OSRRefD21_23x_4</vt:lpstr>
      <vt:lpstr>Summary!OSRRefD21_23x_4</vt:lpstr>
      <vt:lpstr>'300'!OSRRefD21_23x_5</vt:lpstr>
      <vt:lpstr>'300 &amp; 317'!OSRRefD21_23x_5</vt:lpstr>
      <vt:lpstr>'Div 3'!OSRRefD21_23x_5</vt:lpstr>
      <vt:lpstr>Summary!OSRRefD21_23x_5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'411'!OSRRefD21_2x_4</vt:lpstr>
      <vt:lpstr>'412'!OSRRefD21_2x_4</vt:lpstr>
      <vt:lpstr>'415'!OSRRefD21_2x_4</vt:lpstr>
      <vt:lpstr>'418'!OSRRefD21_2x_4</vt:lpstr>
      <vt:lpstr>'423'!OSRRefD21_2x_4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'411'!OSRRefD21_2x_5</vt:lpstr>
      <vt:lpstr>'412'!OSRRefD21_2x_5</vt:lpstr>
      <vt:lpstr>'415'!OSRRefD21_2x_5</vt:lpstr>
      <vt:lpstr>'418'!OSRRefD21_2x_5</vt:lpstr>
      <vt:lpstr>'423'!OSRRefD21_2x_5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'411'!OSRRefD21_3x_3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'315'!OSRRefD21_3x_4</vt:lpstr>
      <vt:lpstr>'316'!OSRRefD21_3x_4</vt:lpstr>
      <vt:lpstr>'317'!OSRRefD21_3x_4</vt:lpstr>
      <vt:lpstr>'321'!OSRRefD21_3x_4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'411'!OSRRefD21_3x_4</vt:lpstr>
      <vt:lpstr>'415'!OSRRefD21_3x_4</vt:lpstr>
      <vt:lpstr>'418'!OSRRefD21_3x_4</vt:lpstr>
      <vt:lpstr>'423'!OSRRefD21_3x_4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'315'!OSRRefD21_3x_5</vt:lpstr>
      <vt:lpstr>'316'!OSRRefD21_3x_5</vt:lpstr>
      <vt:lpstr>'317'!OSRRefD21_3x_5</vt:lpstr>
      <vt:lpstr>'321'!OSRRefD21_3x_5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'411'!OSRRefD21_3x_5</vt:lpstr>
      <vt:lpstr>'415'!OSRRefD21_3x_5</vt:lpstr>
      <vt:lpstr>'418'!OSRRefD21_3x_5</vt:lpstr>
      <vt:lpstr>'423'!OSRRefD21_3x_5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'309'!OSRRefD21_4_1x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'315'!OSRRefD21_4x_4</vt:lpstr>
      <vt:lpstr>'316'!OSRRefD21_4x_4</vt:lpstr>
      <vt:lpstr>'317'!OSRRefD21_4x_4</vt:lpstr>
      <vt:lpstr>'321'!OSRRefD21_4x_4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'411'!OSRRefD21_4x_4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'315'!OSRRefD21_4x_5</vt:lpstr>
      <vt:lpstr>'316'!OSRRefD21_4x_5</vt:lpstr>
      <vt:lpstr>'317'!OSRRefD21_4x_5</vt:lpstr>
      <vt:lpstr>'321'!OSRRefD21_4x_5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'411'!OSRRefD21_4x_5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'315'!OSRRefD21_5x_4</vt:lpstr>
      <vt:lpstr>'316'!OSRRefD21_5x_4</vt:lpstr>
      <vt:lpstr>'317'!OSRRefD21_5x_4</vt:lpstr>
      <vt:lpstr>'321'!OSRRefD21_5x_4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'415'!OSRRefD21_5x_4</vt:lpstr>
      <vt:lpstr>'418'!OSRRefD21_5x_4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'315'!OSRRefD21_5x_5</vt:lpstr>
      <vt:lpstr>'316'!OSRRefD21_5x_5</vt:lpstr>
      <vt:lpstr>'317'!OSRRefD21_5x_5</vt:lpstr>
      <vt:lpstr>'321'!OSRRefD21_5x_5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'415'!OSRRefD21_5x_5</vt:lpstr>
      <vt:lpstr>'418'!OSRRefD21_5x_5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'205'!OSRRefD21_6_1x</vt:lpstr>
      <vt:lpstr>'300'!OSRRefD21_6_1x</vt:lpstr>
      <vt:lpstr>'300 &amp; 317'!OSRRefD21_6_1x</vt:lpstr>
      <vt:lpstr>'301'!OSRRefD21_6_1x</vt:lpstr>
      <vt:lpstr>'321'!OSRRefD21_6_1x</vt:lpstr>
      <vt:lpstr>'430'!OSRRefD21_6_1x</vt:lpstr>
      <vt:lpstr>'Div 3'!OSRRefD21_6_1x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'315'!OSRRefD21_6x_4</vt:lpstr>
      <vt:lpstr>'316'!OSRRefD21_6x_4</vt:lpstr>
      <vt:lpstr>'317'!OSRRefD21_6x_4</vt:lpstr>
      <vt:lpstr>'321'!OSRRefD21_6x_4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'315'!OSRRefD21_6x_5</vt:lpstr>
      <vt:lpstr>'316'!OSRRefD21_6x_5</vt:lpstr>
      <vt:lpstr>'317'!OSRRefD21_6x_5</vt:lpstr>
      <vt:lpstr>'321'!OSRRefD21_6x_5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'415'!OSRRefD21_6x_5</vt:lpstr>
      <vt:lpstr>'418'!OSRRefD21_6x_5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'204'!OSRRefD21_7_1x</vt:lpstr>
      <vt:lpstr>'316'!OSRRefD21_7_1x</vt:lpstr>
      <vt:lpstr>'332'!OSRRefD21_7_1x</vt:lpstr>
      <vt:lpstr>'418'!OSRRefD21_7_1x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'308'!OSRRefD21_8_1x</vt:lpstr>
      <vt:lpstr>'310 &amp; 491'!OSRRefD21_8_1x</vt:lpstr>
      <vt:lpstr>'311'!OSRRefD21_8_1x</vt:lpstr>
      <vt:lpstr>'315'!OSRRefD21_8_1x</vt:lpstr>
      <vt:lpstr>'317'!OSRRefD21_8_1x</vt:lpstr>
      <vt:lpstr>'321'!OSRRefD21_8_1x</vt:lpstr>
      <vt:lpstr>'331'!OSRRefD21_8_1x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'308'!OSRRefD21_8_2x</vt:lpstr>
      <vt:lpstr>'311'!OSRRefD21_8_2x</vt:lpstr>
      <vt:lpstr>'411'!OSRRefD21_8_2x</vt:lpstr>
      <vt:lpstr>'411'!OSRRefD21_8_3x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'415'!OSRRefD21_8x_4</vt:lpstr>
      <vt:lpstr>'418'!OSRRefD21_8x_4</vt:lpstr>
      <vt:lpstr>'430'!OSRRefD21_8x_4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'415'!OSRRefD21_8x_5</vt:lpstr>
      <vt:lpstr>'418'!OSRRefD21_8x_5</vt:lpstr>
      <vt:lpstr>'430'!OSRRefD21_8x_5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'201'!OSRRefD21_9_0x</vt:lpstr>
      <vt:lpstr>'202'!OSRRefD21_9_0x</vt:lpstr>
      <vt:lpstr>'203'!OSRRefD21_9_0x</vt:lpstr>
      <vt:lpstr>'204'!OSRRefD21_9_0x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'307'!OSRRefD21_9_1x</vt:lpstr>
      <vt:lpstr>'308'!OSRRefD21_9_1x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'316'!OSRRefD21_9_2x</vt:lpstr>
      <vt:lpstr>'321'!OSRRefD21_9_2x</vt:lpstr>
      <vt:lpstr>'332'!OSRRefD21_9_2x</vt:lpstr>
      <vt:lpstr>'418'!OSRRefD21_9_2x</vt:lpstr>
      <vt:lpstr>'316'!OSRRefD21_9_3x</vt:lpstr>
      <vt:lpstr>'321'!OSRRefD21_9_3x</vt:lpstr>
      <vt:lpstr>'332'!OSRRefD21_9_3x</vt:lpstr>
      <vt:lpstr>'201'!OSRRefD21_9x_0</vt:lpstr>
      <vt:lpstr>'202'!OSRRefD21_9x_0</vt:lpstr>
      <vt:lpstr>'203'!OSRRefD21_9x_0</vt:lpstr>
      <vt:lpstr>'204'!OSRRefD21_9x_0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'204'!OSRRefD21_9x_1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'204'!OSRRefD21_9x_2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'204'!OSRRefD21_9x_3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'204'!OSRRefD21_9x_4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'204'!OSRRefD21_9x_5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'415'!OSRRefE11_0x</vt:lpstr>
      <vt:lpstr>'418'!OSRRefE11_0x</vt:lpstr>
      <vt:lpstr>'425'!OSRRefE11_0x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Summary!OSRRefE11_10x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'330'!OSRRefE11_2x</vt:lpstr>
      <vt:lpstr>'331'!OSRRefE11_2x</vt:lpstr>
      <vt:lpstr>'332'!OSRRefE11_2x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'330'!OSRRefE11_3x</vt:lpstr>
      <vt:lpstr>'331'!OSRRefE11_3x</vt:lpstr>
      <vt:lpstr>'332'!OSRRefE11_3x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 &amp; 491'!OSRRefE11_5x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Summary!OSRRefE11_6x</vt:lpstr>
      <vt:lpstr>'Div 3'!OSRRefE11_7x</vt:lpstr>
      <vt:lpstr>Summary!OSRRefE11_7x</vt:lpstr>
      <vt:lpstr>'Div 3'!OSRRefE11_8x</vt:lpstr>
      <vt:lpstr>Summary!OSRRefE11_8x</vt:lpstr>
      <vt:lpstr>Summary!OSRRefE11_9x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'415'!OSRRefE11x_0</vt:lpstr>
      <vt:lpstr>'418'!OSRRefE11x_0</vt:lpstr>
      <vt:lpstr>'425'!OSRRefE11x_0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'415'!OSRRefE11x_1</vt:lpstr>
      <vt:lpstr>'418'!OSRRefE11x_1</vt:lpstr>
      <vt:lpstr>'425'!OSRRefE11x_1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'415'!OSRRefE11x_2</vt:lpstr>
      <vt:lpstr>'418'!OSRRefE11x_2</vt:lpstr>
      <vt:lpstr>'425'!OSRRefE11x_2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'415'!OSRRefE11x_3</vt:lpstr>
      <vt:lpstr>'418'!OSRRefE11x_3</vt:lpstr>
      <vt:lpstr>'425'!OSRRefE11x_3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'415'!OSRRefE11x_4</vt:lpstr>
      <vt:lpstr>'418'!OSRRefE11x_4</vt:lpstr>
      <vt:lpstr>'425'!OSRRefE11x_4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'324'!OSRRefE11x_5</vt:lpstr>
      <vt:lpstr>'325'!OSRRefE11x_5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'415'!OSRRefE11x_5</vt:lpstr>
      <vt:lpstr>'418'!OSRRefE11x_5</vt:lpstr>
      <vt:lpstr>'425'!OSRRefE11x_5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'300'!OSRRefE14_0x</vt:lpstr>
      <vt:lpstr>'300 &amp; 317'!OSRRefE14_0x</vt:lpstr>
      <vt:lpstr>'301'!OSRRefE14_0x</vt:lpstr>
      <vt:lpstr>'307'!OSRRefE14_0x</vt:lpstr>
      <vt:lpstr>'308'!OSRRefE14_0x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'316'!OSRRefE14_1x</vt:lpstr>
      <vt:lpstr>'317'!OSRRefE14_1x</vt:lpstr>
      <vt:lpstr>'321'!OSRRefE14_1x</vt:lpstr>
      <vt:lpstr>'325'!OSRRefE14_1x</vt:lpstr>
      <vt:lpstr>'326'!OSRRefE14_1x</vt:lpstr>
      <vt:lpstr>'327'!OSRRefE14_1x</vt:lpstr>
      <vt:lpstr>'330'!OSRRefE14_1x</vt:lpstr>
      <vt:lpstr>'331'!OSRRefE14_1x</vt:lpstr>
      <vt:lpstr>'332'!OSRRefE14_1x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'330'!OSRRefE14_2x</vt:lpstr>
      <vt:lpstr>'331'!OSRRefE14_2x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'330'!OSRRefE14_8x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'330'!OSRRefE14_9x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'301'!OSRRefE14x_1</vt:lpstr>
      <vt:lpstr>'307'!OSRRefE14x_1</vt:lpstr>
      <vt:lpstr>'308'!OSRRefE14x_1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'301'!OSRRefE14x_2</vt:lpstr>
      <vt:lpstr>'307'!OSRRefE14x_2</vt:lpstr>
      <vt:lpstr>'308'!OSRRefE14x_2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'301'!OSRRefE14x_3</vt:lpstr>
      <vt:lpstr>'307'!OSRRefE14x_3</vt:lpstr>
      <vt:lpstr>'308'!OSRRefE14x_3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'332'!OSRRefE14x_3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'301'!OSRRefE14x_4</vt:lpstr>
      <vt:lpstr>'307'!OSRRefE14x_4</vt:lpstr>
      <vt:lpstr>'308'!OSRRefE14x_4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'332'!OSRRefE14x_4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'301'!OSRRefE14x_5</vt:lpstr>
      <vt:lpstr>'307'!OSRRefE14x_5</vt:lpstr>
      <vt:lpstr>'308'!OSRRefE14x_5</vt:lpstr>
      <vt:lpstr>'310'!OSRRefE14x_5</vt:lpstr>
      <vt:lpstr>'310 &amp; 491'!OSRRefE14x_5</vt:lpstr>
      <vt:lpstr>'311'!OSRRefE14x_5</vt:lpstr>
      <vt:lpstr>'315'!OSRRefE14x_5</vt:lpstr>
      <vt:lpstr>'316'!OSRRefE14x_5</vt:lpstr>
      <vt:lpstr>'317'!OSRRefE14x_5</vt:lpstr>
      <vt:lpstr>'321'!OSRRefE14x_5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'332'!OSRRefE14x_5</vt:lpstr>
      <vt:lpstr>'405'!OSRRefE14x_5</vt:lpstr>
      <vt:lpstr>'415'!OSRRefE14x_5</vt:lpstr>
      <vt:lpstr>'418'!OSRRefE14x_5</vt:lpstr>
      <vt:lpstr>'425'!OSRRefE14x_5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'321'!OSRRefE20_10x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'330'!OSRRefE20_11x</vt:lpstr>
      <vt:lpstr>'331'!OSRRefE20_11x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'310'!OSRRefE20_13x</vt:lpstr>
      <vt:lpstr>'310 &amp; 491'!OSRRefE20_13x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'405'!OSRRefE20_16x</vt:lpstr>
      <vt:lpstr>'415'!OSRRefE20_16x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'315'!OSRRefE20_17x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'331'!OSRRefE20_21x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'411'!OSRRefE20_3x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'204'!OSRRefE20_9x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'322'!OSRRefE20x_5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'406'!OSRRefE20x_5</vt:lpstr>
      <vt:lpstr>'411'!OSRRefE20x_5</vt:lpstr>
      <vt:lpstr>'412'!OSRRefE20x_5</vt:lpstr>
      <vt:lpstr>'413'!OSRRefE20x_5</vt:lpstr>
      <vt:lpstr>'414'!OSRRefE20x_5</vt:lpstr>
      <vt:lpstr>'415'!OSRRefE20x_5</vt:lpstr>
      <vt:lpstr>'418'!OSRRefE20x_5</vt:lpstr>
      <vt:lpstr>'423'!OSRRefE20x_5</vt:lpstr>
      <vt:lpstr>'424'!OSRRefE20x_5</vt:lpstr>
      <vt:lpstr>'425'!OSRRefE20x_5</vt:lpstr>
      <vt:lpstr>'430'!OSRRefE20x_5</vt:lpstr>
      <vt:lpstr>'433'!OSRRefE20x_5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'322'!OSRRefE21_0x_5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'406'!OSRRefE21_0x_5</vt:lpstr>
      <vt:lpstr>'411'!OSRRefE21_0x_5</vt:lpstr>
      <vt:lpstr>'412'!OSRRefE21_0x_5</vt:lpstr>
      <vt:lpstr>'413'!OSRRefE21_0x_5</vt:lpstr>
      <vt:lpstr>'414'!OSRRefE21_0x_5</vt:lpstr>
      <vt:lpstr>'415'!OSRRefE21_0x_5</vt:lpstr>
      <vt:lpstr>'418'!OSRRefE21_0x_5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'321'!OSRRefE21_10_0x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'330'!OSRRefE21_10_1x</vt:lpstr>
      <vt:lpstr>'405'!OSRRefE21_10_1x</vt:lpstr>
      <vt:lpstr>'Div 3'!OSRRefE21_10_1x</vt:lpstr>
      <vt:lpstr>Summary!OSRRefE21_10_1x</vt:lpstr>
      <vt:lpstr>'405'!OSRRefE21_10_2x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'321'!OSRRefE21_10x_0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'321'!OSRRefE21_10x_1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'321'!OSRRefE21_10x_2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'321'!OSRRefE21_10x_3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'321'!OSRRefE21_10x_4</vt:lpstr>
      <vt:lpstr>'325'!OSRRefE21_10x_4</vt:lpstr>
      <vt:lpstr>'326'!OSRRefE21_10x_4</vt:lpstr>
      <vt:lpstr>'330'!OSRRefE21_10x_4</vt:lpstr>
      <vt:lpstr>'331'!OSRRefE21_10x_4</vt:lpstr>
      <vt:lpstr>'332'!OSRRefE21_10x_4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'201'!OSRRefE21_10x_5</vt:lpstr>
      <vt:lpstr>'202'!OSRRefE21_10x_5</vt:lpstr>
      <vt:lpstr>'203'!OSRRefE21_10x_5</vt:lpstr>
      <vt:lpstr>'300'!OSRRefE21_10x_5</vt:lpstr>
      <vt:lpstr>'300 &amp; 317'!OSRRefE21_10x_5</vt:lpstr>
      <vt:lpstr>'301'!OSRRefE21_10x_5</vt:lpstr>
      <vt:lpstr>'307'!OSRRefE21_10x_5</vt:lpstr>
      <vt:lpstr>'308'!OSRRefE21_10x_5</vt:lpstr>
      <vt:lpstr>'310'!OSRRefE21_10x_5</vt:lpstr>
      <vt:lpstr>'310 &amp; 491'!OSRRefE21_10x_5</vt:lpstr>
      <vt:lpstr>'311'!OSRRefE21_10x_5</vt:lpstr>
      <vt:lpstr>'315'!OSRRefE21_10x_5</vt:lpstr>
      <vt:lpstr>'316'!OSRRefE21_10x_5</vt:lpstr>
      <vt:lpstr>'321'!OSRRefE21_10x_5</vt:lpstr>
      <vt:lpstr>'325'!OSRRefE21_10x_5</vt:lpstr>
      <vt:lpstr>'326'!OSRRefE21_10x_5</vt:lpstr>
      <vt:lpstr>'330'!OSRRefE21_10x_5</vt:lpstr>
      <vt:lpstr>'331'!OSRRefE21_10x_5</vt:lpstr>
      <vt:lpstr>'332'!OSRRefE21_10x_5</vt:lpstr>
      <vt:lpstr>'405'!OSRRefE21_10x_5</vt:lpstr>
      <vt:lpstr>'411'!OSRRefE21_10x_5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Summary!OSRRefE21_10x_5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'307'!OSRRefE21_11_1x</vt:lpstr>
      <vt:lpstr>'308'!OSRRefE21_11_1x</vt:lpstr>
      <vt:lpstr>'310'!OSRRefE21_11_1x</vt:lpstr>
      <vt:lpstr>'311'!OSRRefE21_11_1x</vt:lpstr>
      <vt:lpstr>'325'!OSRRefE21_11_1x</vt:lpstr>
      <vt:lpstr>'326'!OSRRefE21_11_1x</vt:lpstr>
      <vt:lpstr>'330'!OSRRefE21_11_1x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5'!OSRRefE21_11_1x</vt:lpstr>
      <vt:lpstr>Summary!OSRRefE21_11_1x</vt:lpstr>
      <vt:lpstr>'203'!OSRRefE21_11_2x</vt:lpstr>
      <vt:lpstr>'307'!OSRRefE21_11_2x</vt:lpstr>
      <vt:lpstr>'330'!OSRRefE21_11_2x</vt:lpstr>
      <vt:lpstr>'418'!OSRRefE21_11_2x</vt:lpstr>
      <vt:lpstr>'433'!OSRRefE21_11_2x</vt:lpstr>
      <vt:lpstr>'501'!OSRRefE21_11_2x</vt:lpstr>
      <vt:lpstr>'Div 5'!OSRRefE21_11_2x</vt:lpstr>
      <vt:lpstr>'203'!OSRRefE21_11_3x</vt:lpstr>
      <vt:lpstr>'307'!OSRRefE21_11_3x</vt:lpstr>
      <vt:lpstr>'330'!OSRRefE21_11_3x</vt:lpstr>
      <vt:lpstr>'418'!OSRRefE21_11_3x</vt:lpstr>
      <vt:lpstr>'418'!OSRRefE21_11_4x</vt:lpstr>
      <vt:lpstr>'418'!OSRRefE21_11_5x</vt:lpstr>
      <vt:lpstr>'418'!OSRRefE21_11_6x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'307'!OSRRefE21_11x_5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'321'!OSRRefE21_11x_5</vt:lpstr>
      <vt:lpstr>'325'!OSRRefE21_11x_5</vt:lpstr>
      <vt:lpstr>'326'!OSRRefE21_11x_5</vt:lpstr>
      <vt:lpstr>'330'!OSRRefE21_11x_5</vt:lpstr>
      <vt:lpstr>'331'!OSRRefE21_11x_5</vt:lpstr>
      <vt:lpstr>'405'!OSRRefE21_11x_5</vt:lpstr>
      <vt:lpstr>'411'!OSRRefE21_11x_5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Summary!OSRRefE21_11x_5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'310 &amp; 491'!OSRRefE21_12_1x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'310 &amp; 491'!OSRRefE21_12_3x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'491'!OSRRefE21_12_3x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'202'!OSRRefE21_12x_3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'202'!OSRRefE21_12x_4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'201'!OSRRefE21_12x_5</vt:lpstr>
      <vt:lpstr>'202'!OSRRefE21_12x_5</vt:lpstr>
      <vt:lpstr>'203'!OSRRefE21_12x_5</vt:lpstr>
      <vt:lpstr>'300'!OSRRefE21_12x_5</vt:lpstr>
      <vt:lpstr>'300 &amp; 317'!OSRRefE21_12x_5</vt:lpstr>
      <vt:lpstr>'301'!OSRRefE21_12x_5</vt:lpstr>
      <vt:lpstr>'307'!OSRRefE21_12x_5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'325'!OSRRefE21_12x_5</vt:lpstr>
      <vt:lpstr>'326'!OSRRefE21_12x_5</vt:lpstr>
      <vt:lpstr>'330'!OSRRefE21_12x_5</vt:lpstr>
      <vt:lpstr>'331'!OSRRefE21_12x_5</vt:lpstr>
      <vt:lpstr>'405'!OSRRefE21_12x_5</vt:lpstr>
      <vt:lpstr>'411'!OSRRefE21_12x_5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Summary!OSRRefE21_12x_5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'310'!OSRRefE21_13_0x</vt:lpstr>
      <vt:lpstr>'310 &amp; 491'!OSRRefE21_13_0x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'433'!OSRRefE21_13_1x</vt:lpstr>
      <vt:lpstr>'444'!OSRRefE21_13_1x</vt:lpstr>
      <vt:lpstr>'450'!OSRRefE21_13_1x</vt:lpstr>
      <vt:lpstr>'492'!OSRRefE21_13_1x</vt:lpstr>
      <vt:lpstr>'Div 2'!OSRRefE21_13_1x</vt:lpstr>
      <vt:lpstr>'310'!OSRRefE21_13_2x</vt:lpstr>
      <vt:lpstr>'315'!OSRRefE21_13_2x</vt:lpstr>
      <vt:lpstr>'325'!OSRRefE21_13_2x</vt:lpstr>
      <vt:lpstr>'433'!OSRRefE21_13_2x</vt:lpstr>
      <vt:lpstr>'444'!OSRRefE21_13_2x</vt:lpstr>
      <vt:lpstr>'450'!OSRRefE21_13_2x</vt:lpstr>
      <vt:lpstr>'492'!OSRRefE21_13_2x</vt:lpstr>
      <vt:lpstr>'Div 2'!OSRRefE21_13_2x</vt:lpstr>
      <vt:lpstr>'325'!OSRRefE21_13_3x</vt:lpstr>
      <vt:lpstr>'433'!OSRRefE21_13_3x</vt:lpstr>
      <vt:lpstr>'444'!OSRRefE21_13_3x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'444'!OSRRefE21_13_4x</vt:lpstr>
      <vt:lpstr>'450'!OSRRefE21_13_4x</vt:lpstr>
      <vt:lpstr>'433'!OSRRefE21_13_5x</vt:lpstr>
      <vt:lpstr>'444'!OSRRefE21_13_5x</vt:lpstr>
      <vt:lpstr>'450'!OSRRefE21_13_5x</vt:lpstr>
      <vt:lpstr>'433'!OSRRefE21_13_6x</vt:lpstr>
      <vt:lpstr>'444'!OSRRefE21_13_6x</vt:lpstr>
      <vt:lpstr>'450'!OSRRefE21_13_6x</vt:lpstr>
      <vt:lpstr>'433'!OSRRefE21_13_7x</vt:lpstr>
      <vt:lpstr>'444'!OSRRefE21_13_7x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'310'!OSRRefE21_13x_0</vt:lpstr>
      <vt:lpstr>'310 &amp; 491'!OSRRefE21_13x_0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'310'!OSRRefE21_13x_1</vt:lpstr>
      <vt:lpstr>'310 &amp; 491'!OSRRefE21_13x_1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'310'!OSRRefE21_13x_2</vt:lpstr>
      <vt:lpstr>'310 &amp; 491'!OSRRefE21_13x_2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'310'!OSRRefE21_13x_3</vt:lpstr>
      <vt:lpstr>'310 &amp; 491'!OSRRefE21_13x_3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'310'!OSRRefE21_13x_4</vt:lpstr>
      <vt:lpstr>'310 &amp; 491'!OSRRefE21_13x_4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'310'!OSRRefE21_13x_5</vt:lpstr>
      <vt:lpstr>'310 &amp; 491'!OSRRefE21_13x_5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'411'!OSRRefE21_13x_5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'491'!OSRRefE21_14_1x</vt:lpstr>
      <vt:lpstr>'492'!OSRRefE21_14_1x</vt:lpstr>
      <vt:lpstr>'Div 2'!OSRRefE21_14_1x</vt:lpstr>
      <vt:lpstr>'Div 4'!OSRRefE21_14_1x</vt:lpstr>
      <vt:lpstr>'310'!OSRRefE21_14_2x</vt:lpstr>
      <vt:lpstr>'310 &amp; 491'!OSRRefE21_14_2x</vt:lpstr>
      <vt:lpstr>'326'!OSRRefE21_14_2x</vt:lpstr>
      <vt:lpstr>'415'!OSRRefE21_14_2x</vt:lpstr>
      <vt:lpstr>'491'!OSRRefE21_14_2x</vt:lpstr>
      <vt:lpstr>'492'!OSRRefE21_14_2x</vt:lpstr>
      <vt:lpstr>'Div 4'!OSRRefE21_14_2x</vt:lpstr>
      <vt:lpstr>'310'!OSRRefE21_14_3x</vt:lpstr>
      <vt:lpstr>'310 &amp; 491'!OSRRefE21_14_3x</vt:lpstr>
      <vt:lpstr>'415'!OSRRefE21_14_3x</vt:lpstr>
      <vt:lpstr>'491'!OSRRefE21_14_3x</vt:lpstr>
      <vt:lpstr>'492'!OSRRefE21_14_3x</vt:lpstr>
      <vt:lpstr>'Div 4'!OSRRefE21_14_3x</vt:lpstr>
      <vt:lpstr>'310'!OSRRefE21_14_4x</vt:lpstr>
      <vt:lpstr>'310 &amp; 491'!OSRRefE21_14_4x</vt:lpstr>
      <vt:lpstr>'415'!OSRRefE21_14_4x</vt:lpstr>
      <vt:lpstr>'491'!OSRRefE21_14_4x</vt:lpstr>
      <vt:lpstr>'492'!OSRRefE21_14_4x</vt:lpstr>
      <vt:lpstr>'492'!OSRRefE21_14_5x</vt:lpstr>
      <vt:lpstr>'492'!OSRRefE21_14_6x</vt:lpstr>
      <vt:lpstr>'492'!OSRRefE21_14_7x</vt:lpstr>
      <vt:lpstr>'201'!OSRRefE21_14x_0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'411'!OSRRefE21_14x_1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'411'!OSRRefE21_14x_2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'411'!OSRRefE21_14x_3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'411'!OSRRefE21_14x_4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'300'!OSRRefE21_14x_5</vt:lpstr>
      <vt:lpstr>'300 &amp; 317'!OSRRefE21_14x_5</vt:lpstr>
      <vt:lpstr>'301'!OSRRefE21_14x_5</vt:lpstr>
      <vt:lpstr>'310'!OSRRefE21_14x_5</vt:lpstr>
      <vt:lpstr>'310 &amp; 491'!OSRRefE21_14x_5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'411'!OSRRefE21_14x_5</vt:lpstr>
      <vt:lpstr>'415'!OSRRefE21_14x_5</vt:lpstr>
      <vt:lpstr>'418'!OSRRefE21_14x_5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'315'!OSRRefE21_15_1x</vt:lpstr>
      <vt:lpstr>'331'!OSRRefE21_15_1x</vt:lpstr>
      <vt:lpstr>'415'!OSRRefE21_15_1x</vt:lpstr>
      <vt:lpstr>'492'!OSRRefE21_15_1x</vt:lpstr>
      <vt:lpstr>'301'!OSRRefE21_15_2x</vt:lpstr>
      <vt:lpstr>'315'!OSRRefE21_15_2x</vt:lpstr>
      <vt:lpstr>'331'!OSRRefE21_15_2x</vt:lpstr>
      <vt:lpstr>'301'!OSRRefE21_15_3x</vt:lpstr>
      <vt:lpstr>'315'!OSRRefE21_15_3x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'418'!OSRRefE21_15x_4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'325'!OSRRefE21_15x_5</vt:lpstr>
      <vt:lpstr>'326'!OSRRefE21_15x_5</vt:lpstr>
      <vt:lpstr>'331'!OSRRefE21_15x_5</vt:lpstr>
      <vt:lpstr>'405'!OSRRefE21_15x_5</vt:lpstr>
      <vt:lpstr>'415'!OSRRefE21_15x_5</vt:lpstr>
      <vt:lpstr>'418'!OSRRefE21_15x_5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'405'!OSRRefE21_16_0x</vt:lpstr>
      <vt:lpstr>'415'!OSRRefE21_16_0x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'326'!OSRRefE21_16_1x</vt:lpstr>
      <vt:lpstr>'331'!OSRRefE21_16_1x</vt:lpstr>
      <vt:lpstr>'491'!OSRRefE21_16_1x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'Div 4'!OSRRefE21_16_3x</vt:lpstr>
      <vt:lpstr>'310 &amp; 491'!OSRRefE21_16_4x</vt:lpstr>
      <vt:lpstr>'491'!OSRRefE21_16_4x</vt:lpstr>
      <vt:lpstr>'Div 2'!OSRRefE21_16_4x</vt:lpstr>
      <vt:lpstr>'Div 4'!OSRRefE21_16_4x</vt:lpstr>
      <vt:lpstr>'310 &amp; 491'!OSRRefE21_16_5x</vt:lpstr>
      <vt:lpstr>'491'!OSRRefE21_16_5x</vt:lpstr>
      <vt:lpstr>'310 &amp; 491'!OSRRefE21_16_6x</vt:lpstr>
      <vt:lpstr>'491'!OSRRefE21_16_6x</vt:lpstr>
      <vt:lpstr>'310 &amp; 491'!OSRRefE21_16_7x</vt:lpstr>
      <vt:lpstr>'491'!OSRRefE21_16_7x</vt:lpstr>
      <vt:lpstr>'310 &amp; 491'!OSRRefE21_16_8x</vt:lpstr>
      <vt:lpstr>'491'!OSRRefE21_16_8x</vt:lpstr>
      <vt:lpstr>'310 &amp; 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'405'!OSRRefE21_16x_0</vt:lpstr>
      <vt:lpstr>'415'!OSRRefE21_16x_0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'405'!OSRRefE21_16x_1</vt:lpstr>
      <vt:lpstr>'415'!OSRRefE21_16x_1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'405'!OSRRefE21_16x_2</vt:lpstr>
      <vt:lpstr>'415'!OSRRefE21_16x_2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'405'!OSRRefE21_16x_3</vt:lpstr>
      <vt:lpstr>'415'!OSRRefE21_16x_3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'405'!OSRRefE21_16x_4</vt:lpstr>
      <vt:lpstr>'415'!OSRRefE21_16x_4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'315'!OSRRefE21_16x_5</vt:lpstr>
      <vt:lpstr>'326'!OSRRefE21_16x_5</vt:lpstr>
      <vt:lpstr>'331'!OSRRefE21_16x_5</vt:lpstr>
      <vt:lpstr>'405'!OSRRefE21_16x_5</vt:lpstr>
      <vt:lpstr>'415'!OSRRefE21_16x_5</vt:lpstr>
      <vt:lpstr>'450'!OSRRefE21_16x_5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'315'!OSRRefE21_17_0x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'491'!OSRRefE21_17_1x</vt:lpstr>
      <vt:lpstr>'492'!OSRRefE21_17_1x</vt:lpstr>
      <vt:lpstr>'Div 2'!OSRRefE21_17_1x</vt:lpstr>
      <vt:lpstr>'Div 3'!OSRRefE21_17_1x</vt:lpstr>
      <vt:lpstr>'300'!OSRRefE21_17_2x</vt:lpstr>
      <vt:lpstr>'300 &amp; 317'!OSRRefE21_17_2x</vt:lpstr>
      <vt:lpstr>'Div 3'!OSRRefE21_17_2x</vt:lpstr>
      <vt:lpstr>'300'!OSRRefE21_17_3x</vt:lpstr>
      <vt:lpstr>'300 &amp; 317'!OSRRefE21_17_3x</vt:lpstr>
      <vt:lpstr>'Div 3'!OSRRefE21_17_3x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'315'!OSRRefE21_17x_0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'315'!OSRRefE21_17x_1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'315'!OSRRefE21_17x_2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'315'!OSRRefE21_17x_3</vt:lpstr>
      <vt:lpstr>'326'!OSRRefE21_17x_3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'315'!OSRRefE21_17x_4</vt:lpstr>
      <vt:lpstr>'326'!OSRRefE21_17x_4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'315'!OSRRefE21_17x_5</vt:lpstr>
      <vt:lpstr>'326'!OSRRefE21_17x_5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'331'!OSRRefE21_18_1x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'331'!OSRRefE21_18_2x</vt:lpstr>
      <vt:lpstr>'Div 3'!OSRRefE21_18_2x</vt:lpstr>
      <vt:lpstr>'Div 4'!OSRRefE21_18_2x</vt:lpstr>
      <vt:lpstr>Summary!OSRRefE21_18_2x</vt:lpstr>
      <vt:lpstr>'301'!OSRRefE21_18_3x</vt:lpstr>
      <vt:lpstr>'331'!OSRRefE21_18_3x</vt:lpstr>
      <vt:lpstr>'Div 3'!OSRRefE21_18_3x</vt:lpstr>
      <vt:lpstr>'Div 4'!OSRRefE21_18_3x</vt:lpstr>
      <vt:lpstr>Summary!OSRRefE21_18_3x</vt:lpstr>
      <vt:lpstr>'301'!OSRRefE21_18_4x</vt:lpstr>
      <vt:lpstr>'331'!OSRRefE21_18_4x</vt:lpstr>
      <vt:lpstr>'Div 4'!OSRRefE21_18_4x</vt:lpstr>
      <vt:lpstr>'301'!OSRRefE21_18_5x</vt:lpstr>
      <vt:lpstr>'Div 4'!OSRRefE21_18_5x</vt:lpstr>
      <vt:lpstr>'Div 4'!OSRRefE21_18_6x</vt:lpstr>
      <vt:lpstr>'Div 4'!OSRRefE21_18_7x</vt:lpstr>
      <vt:lpstr>'Div 4'!OSRRefE21_18_8x</vt:lpstr>
      <vt:lpstr>'Div 4'!OSRRefE21_18_9x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'491'!OSRRefE21_18x_1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'491'!OSRRefE21_18x_2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'491'!OSRRefE21_18x_3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'491'!OSRRefE21_18x_4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 &amp; 491'!OSRRefE21_18x_5</vt:lpstr>
      <vt:lpstr>'331'!OSRRefE21_18x_5</vt:lpstr>
      <vt:lpstr>'491'!OSRRefE21_18x_5</vt:lpstr>
      <vt:lpstr>'Div 2'!OSRRefE21_18x_5</vt:lpstr>
      <vt:lpstr>'Div 3'!OSRRefE21_18x_5</vt:lpstr>
      <vt:lpstr>'Div 4'!OSRRefE21_18x_5</vt:lpstr>
      <vt:lpstr>Summary!OSRRefE21_18x_5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 &amp; 491'!OSRRefE21_19x_5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'424'!OSRRefE21_1x_3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'411'!OSRRefE21_1x_4</vt:lpstr>
      <vt:lpstr>'412'!OSRRefE21_1x_4</vt:lpstr>
      <vt:lpstr>'413'!OSRRefE21_1x_4</vt:lpstr>
      <vt:lpstr>'414'!OSRRefE21_1x_4</vt:lpstr>
      <vt:lpstr>'415'!OSRRefE21_1x_4</vt:lpstr>
      <vt:lpstr>'418'!OSRRefE21_1x_4</vt:lpstr>
      <vt:lpstr>'423'!OSRRefE21_1x_4</vt:lpstr>
      <vt:lpstr>'424'!OSRRefE21_1x_4</vt:lpstr>
      <vt:lpstr>'425'!OSRRefE21_1x_4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'313'!OSRRefE21_1x_5</vt:lpstr>
      <vt:lpstr>'315'!OSRRefE21_1x_5</vt:lpstr>
      <vt:lpstr>'316'!OSRRefE21_1x_5</vt:lpstr>
      <vt:lpstr>'317'!OSRRefE21_1x_5</vt:lpstr>
      <vt:lpstr>'321'!OSRRefE21_1x_5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'411'!OSRRefE21_1x_5</vt:lpstr>
      <vt:lpstr>'412'!OSRRefE21_1x_5</vt:lpstr>
      <vt:lpstr>'413'!OSRRefE21_1x_5</vt:lpstr>
      <vt:lpstr>'414'!OSRRefE21_1x_5</vt:lpstr>
      <vt:lpstr>'415'!OSRRefE21_1x_5</vt:lpstr>
      <vt:lpstr>'418'!OSRRefE21_1x_5</vt:lpstr>
      <vt:lpstr>'423'!OSRRefE21_1x_5</vt:lpstr>
      <vt:lpstr>'424'!OSRRefE21_1x_5</vt:lpstr>
      <vt:lpstr>'425'!OSRRefE21_1x_5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'331'!OSRRefE21_20_1x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'491'!OSRRefE21_20x_4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'331'!OSRRefE21_20x_5</vt:lpstr>
      <vt:lpstr>'491'!OSRRefE21_20x_5</vt:lpstr>
      <vt:lpstr>'Div 3'!OSRRefE21_20x_5</vt:lpstr>
      <vt:lpstr>'Div 4'!OSRRefE21_20x_5</vt:lpstr>
      <vt:lpstr>Summary!OSRRefE21_20x_5</vt:lpstr>
      <vt:lpstr>'300'!OSRRefE21_21_0x</vt:lpstr>
      <vt:lpstr>'300 &amp; 317'!OSRRefE21_21_0x</vt:lpstr>
      <vt:lpstr>'301'!OSRRefE21_21_0x</vt:lpstr>
      <vt:lpstr>'331'!OSRRefE21_21_0x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'331'!OSRRefE21_21x_0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'331'!OSRRefE21_21x_1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'331'!OSRRefE21_21x_2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'331'!OSRRefE21_21x_3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'331'!OSRRefE21_21x_4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'301'!OSRRefE21_21x_5</vt:lpstr>
      <vt:lpstr>'331'!OSRRefE21_21x_5</vt:lpstr>
      <vt:lpstr>'Div 3'!OSRRefE21_21x_5</vt:lpstr>
      <vt:lpstr>'Div 4'!OSRRefE21_21x_5</vt:lpstr>
      <vt:lpstr>Summary!OSRRefE21_21x_5</vt:lpstr>
      <vt:lpstr>'300'!OSRRefE21_22_0x</vt:lpstr>
      <vt:lpstr>'300 &amp; 317'!OSRRefE21_22_0x</vt:lpstr>
      <vt:lpstr>'301'!OSRRefE21_22_0x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'301'!OSRRefE21_22x_1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'301'!OSRRefE21_22x_2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'301'!OSRRefE21_22x_3</vt:lpstr>
      <vt:lpstr>'Div 3'!OSRRefE21_22x_3</vt:lpstr>
      <vt:lpstr>'Div 4'!OSRRefE21_22x_3</vt:lpstr>
      <vt:lpstr>Summary!OSRRefE21_22x_3</vt:lpstr>
      <vt:lpstr>'300'!OSRRefE21_22x_4</vt:lpstr>
      <vt:lpstr>'300 &amp; 317'!OSRRefE21_22x_4</vt:lpstr>
      <vt:lpstr>'301'!OSRRefE21_22x_4</vt:lpstr>
      <vt:lpstr>'Div 3'!OSRRefE21_22x_4</vt:lpstr>
      <vt:lpstr>'Div 4'!OSRRefE21_22x_4</vt:lpstr>
      <vt:lpstr>Summary!OSRRefE21_22x_4</vt:lpstr>
      <vt:lpstr>'300'!OSRRefE21_22x_5</vt:lpstr>
      <vt:lpstr>'300 &amp; 317'!OSRRefE21_22x_5</vt:lpstr>
      <vt:lpstr>'301'!OSRRefE21_22x_5</vt:lpstr>
      <vt:lpstr>'Div 3'!OSRRefE21_22x_5</vt:lpstr>
      <vt:lpstr>'Div 4'!OSRRefE21_22x_5</vt:lpstr>
      <vt:lpstr>Summary!OSRRefE21_22x_5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'300'!OSRRefE21_23x_5</vt:lpstr>
      <vt:lpstr>'300 &amp; 317'!OSRRefE21_23x_5</vt:lpstr>
      <vt:lpstr>'Div 3'!OSRRefE21_23x_5</vt:lpstr>
      <vt:lpstr>Summary!OSRRefE21_23x_5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Summary!OSRRefE21_26x_5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'411'!OSRRefE21_2x_3</vt:lpstr>
      <vt:lpstr>'412'!OSRRefE21_2x_3</vt:lpstr>
      <vt:lpstr>'415'!OSRRefE21_2x_3</vt:lpstr>
      <vt:lpstr>'418'!OSRRefE21_2x_3</vt:lpstr>
      <vt:lpstr>'423'!OSRRefE21_2x_3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'411'!OSRRefE21_2x_4</vt:lpstr>
      <vt:lpstr>'412'!OSRRefE21_2x_4</vt:lpstr>
      <vt:lpstr>'415'!OSRRefE21_2x_4</vt:lpstr>
      <vt:lpstr>'418'!OSRRefE21_2x_4</vt:lpstr>
      <vt:lpstr>'423'!OSRRefE21_2x_4</vt:lpstr>
      <vt:lpstr>'425'!OSRRefE21_2x_4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'313'!OSRRefE21_2x_5</vt:lpstr>
      <vt:lpstr>'315'!OSRRefE21_2x_5</vt:lpstr>
      <vt:lpstr>'316'!OSRRefE21_2x_5</vt:lpstr>
      <vt:lpstr>'317'!OSRRefE21_2x_5</vt:lpstr>
      <vt:lpstr>'321'!OSRRefE21_2x_5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'411'!OSRRefE21_2x_5</vt:lpstr>
      <vt:lpstr>'412'!OSRRefE21_2x_5</vt:lpstr>
      <vt:lpstr>'415'!OSRRefE21_2x_5</vt:lpstr>
      <vt:lpstr>'418'!OSRRefE21_2x_5</vt:lpstr>
      <vt:lpstr>'423'!OSRRefE21_2x_5</vt:lpstr>
      <vt:lpstr>'425'!OSRRefE21_2x_5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'425'!OSRRefE21_3x_4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'309'!OSRRefE21_3x_5</vt:lpstr>
      <vt:lpstr>'310'!OSRRefE21_3x_5</vt:lpstr>
      <vt:lpstr>'310 &amp; 491'!OSRRefE21_3x_5</vt:lpstr>
      <vt:lpstr>'311'!OSRRefE21_3x_5</vt:lpstr>
      <vt:lpstr>'315'!OSRRefE21_3x_5</vt:lpstr>
      <vt:lpstr>'316'!OSRRefE21_3x_5</vt:lpstr>
      <vt:lpstr>'317'!OSRRefE21_3x_5</vt:lpstr>
      <vt:lpstr>'321'!OSRRefE21_3x_5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'411'!OSRRefE21_3x_5</vt:lpstr>
      <vt:lpstr>'415'!OSRRefE21_3x_5</vt:lpstr>
      <vt:lpstr>'418'!OSRRefE21_3x_5</vt:lpstr>
      <vt:lpstr>'423'!OSRRefE21_3x_5</vt:lpstr>
      <vt:lpstr>'425'!OSRRefE21_3x_5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'309'!OSRRefE21_4_1x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'309'!OSRRefE21_4x_4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'411'!OSRRefE21_4x_4</vt:lpstr>
      <vt:lpstr>'415'!OSRRefE21_4x_4</vt:lpstr>
      <vt:lpstr>'418'!OSRRefE21_4x_4</vt:lpstr>
      <vt:lpstr>'423'!OSRRefE21_4x_4</vt:lpstr>
      <vt:lpstr>'425'!OSRRefE21_4x_4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'309'!OSRRefE21_4x_5</vt:lpstr>
      <vt:lpstr>'310'!OSRRefE21_4x_5</vt:lpstr>
      <vt:lpstr>'310 &amp; 491'!OSRRefE21_4x_5</vt:lpstr>
      <vt:lpstr>'311'!OSRRefE21_4x_5</vt:lpstr>
      <vt:lpstr>'315'!OSRRefE21_4x_5</vt:lpstr>
      <vt:lpstr>'316'!OSRRefE21_4x_5</vt:lpstr>
      <vt:lpstr>'317'!OSRRefE21_4x_5</vt:lpstr>
      <vt:lpstr>'321'!OSRRefE21_4x_5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'411'!OSRRefE21_4x_5</vt:lpstr>
      <vt:lpstr>'415'!OSRRefE21_4x_5</vt:lpstr>
      <vt:lpstr>'418'!OSRRefE21_4x_5</vt:lpstr>
      <vt:lpstr>'423'!OSRRefE21_4x_5</vt:lpstr>
      <vt:lpstr>'425'!OSRRefE21_4x_5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'309'!OSRRefE21_5x_3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'309'!OSRRefE21_5x_4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'309'!OSRRefE21_5x_5</vt:lpstr>
      <vt:lpstr>'310'!OSRRefE21_5x_5</vt:lpstr>
      <vt:lpstr>'310 &amp; 491'!OSRRefE21_5x_5</vt:lpstr>
      <vt:lpstr>'311'!OSRRefE21_5x_5</vt:lpstr>
      <vt:lpstr>'315'!OSRRefE21_5x_5</vt:lpstr>
      <vt:lpstr>'316'!OSRRefE21_5x_5</vt:lpstr>
      <vt:lpstr>'317'!OSRRefE21_5x_5</vt:lpstr>
      <vt:lpstr>'321'!OSRRefE21_5x_5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'415'!OSRRefE21_5x_5</vt:lpstr>
      <vt:lpstr>'418'!OSRRefE21_5x_5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'205'!OSRRefE21_6_1x</vt:lpstr>
      <vt:lpstr>'300'!OSRRefE21_6_1x</vt:lpstr>
      <vt:lpstr>'300 &amp; 317'!OSRRefE21_6_1x</vt:lpstr>
      <vt:lpstr>'301'!OSRRefE21_6_1x</vt:lpstr>
      <vt:lpstr>'321'!OSRRefE21_6_1x</vt:lpstr>
      <vt:lpstr>'430'!OSRRefE21_6_1x</vt:lpstr>
      <vt:lpstr>'Div 3'!OSRRefE21_6_1x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'309'!OSRRefE21_6x_3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'309'!OSRRefE21_6x_4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'309'!OSRRefE21_6x_5</vt:lpstr>
      <vt:lpstr>'310'!OSRRefE21_6x_5</vt:lpstr>
      <vt:lpstr>'310 &amp; 491'!OSRRefE21_6x_5</vt:lpstr>
      <vt:lpstr>'311'!OSRRefE21_6x_5</vt:lpstr>
      <vt:lpstr>'315'!OSRRefE21_6x_5</vt:lpstr>
      <vt:lpstr>'316'!OSRRefE21_6x_5</vt:lpstr>
      <vt:lpstr>'317'!OSRRefE21_6x_5</vt:lpstr>
      <vt:lpstr>'321'!OSRRefE21_6x_5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'415'!OSRRefE21_6x_5</vt:lpstr>
      <vt:lpstr>'418'!OSRRefE21_6x_5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'204'!OSRRefE21_7_1x</vt:lpstr>
      <vt:lpstr>'316'!OSRRefE21_7_1x</vt:lpstr>
      <vt:lpstr>'332'!OSRRefE21_7_1x</vt:lpstr>
      <vt:lpstr>'418'!OSRRefE21_7_1x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'310'!OSRRefE21_7x_5</vt:lpstr>
      <vt:lpstr>'310 &amp; 491'!OSRRefE21_7x_5</vt:lpstr>
      <vt:lpstr>'311'!OSRRefE21_7x_5</vt:lpstr>
      <vt:lpstr>'315'!OSRRefE21_7x_5</vt:lpstr>
      <vt:lpstr>'316'!OSRRefE21_7x_5</vt:lpstr>
      <vt:lpstr>'317'!OSRRefE21_7x_5</vt:lpstr>
      <vt:lpstr>'321'!OSRRefE21_7x_5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'415'!OSRRefE21_7x_5</vt:lpstr>
      <vt:lpstr>'418'!OSRRefE21_7x_5</vt:lpstr>
      <vt:lpstr>'430'!OSRRefE21_7x_5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'308'!OSRRefE21_8_1x</vt:lpstr>
      <vt:lpstr>'310 &amp; 491'!OSRRefE21_8_1x</vt:lpstr>
      <vt:lpstr>'311'!OSRRefE21_8_1x</vt:lpstr>
      <vt:lpstr>'315'!OSRRefE21_8_1x</vt:lpstr>
      <vt:lpstr>'317'!OSRRefE21_8_1x</vt:lpstr>
      <vt:lpstr>'321'!OSRRefE21_8_1x</vt:lpstr>
      <vt:lpstr>'331'!OSRRefE21_8_1x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'308'!OSRRefE21_8_2x</vt:lpstr>
      <vt:lpstr>'311'!OSRRefE21_8_2x</vt:lpstr>
      <vt:lpstr>'411'!OSRRefE21_8_2x</vt:lpstr>
      <vt:lpstr>'411'!OSRRefE21_8_3x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'415'!OSRRefE21_8x_1</vt:lpstr>
      <vt:lpstr>'418'!OSRRefE21_8x_1</vt:lpstr>
      <vt:lpstr>'430'!OSRRefE21_8x_1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'415'!OSRRefE21_8x_2</vt:lpstr>
      <vt:lpstr>'418'!OSRRefE21_8x_2</vt:lpstr>
      <vt:lpstr>'430'!OSRRefE21_8x_2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'415'!OSRRefE21_8x_3</vt:lpstr>
      <vt:lpstr>'418'!OSRRefE21_8x_3</vt:lpstr>
      <vt:lpstr>'430'!OSRRefE21_8x_3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'415'!OSRRefE21_8x_4</vt:lpstr>
      <vt:lpstr>'418'!OSRRefE21_8x_4</vt:lpstr>
      <vt:lpstr>'430'!OSRRefE21_8x_4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'310'!OSRRefE21_8x_5</vt:lpstr>
      <vt:lpstr>'310 &amp; 491'!OSRRefE21_8x_5</vt:lpstr>
      <vt:lpstr>'311'!OSRRefE21_8x_5</vt:lpstr>
      <vt:lpstr>'315'!OSRRefE21_8x_5</vt:lpstr>
      <vt:lpstr>'316'!OSRRefE21_8x_5</vt:lpstr>
      <vt:lpstr>'317'!OSRRefE21_8x_5</vt:lpstr>
      <vt:lpstr>'321'!OSRRefE21_8x_5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'415'!OSRRefE21_8x_5</vt:lpstr>
      <vt:lpstr>'418'!OSRRefE21_8x_5</vt:lpstr>
      <vt:lpstr>'430'!OSRRefE21_8x_5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'201'!OSRRefE21_9_0x</vt:lpstr>
      <vt:lpstr>'202'!OSRRefE21_9_0x</vt:lpstr>
      <vt:lpstr>'203'!OSRRefE21_9_0x</vt:lpstr>
      <vt:lpstr>'204'!OSRRefE21_9_0x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'307'!OSRRefE21_9_1x</vt:lpstr>
      <vt:lpstr>'308'!OSRRefE21_9_1x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'316'!OSRRefE21_9_2x</vt:lpstr>
      <vt:lpstr>'321'!OSRRefE21_9_2x</vt:lpstr>
      <vt:lpstr>'332'!OSRRefE21_9_2x</vt:lpstr>
      <vt:lpstr>'418'!OSRRefE21_9_2x</vt:lpstr>
      <vt:lpstr>'316'!OSRRefE21_9_3x</vt:lpstr>
      <vt:lpstr>'321'!OSRRefE21_9_3x</vt:lpstr>
      <vt:lpstr>'332'!OSRRefE21_9_3x</vt:lpstr>
      <vt:lpstr>'201'!OSRRefE21_9x_0</vt:lpstr>
      <vt:lpstr>'202'!OSRRefE21_9x_0</vt:lpstr>
      <vt:lpstr>'203'!OSRRefE21_9x_0</vt:lpstr>
      <vt:lpstr>'204'!OSRRefE21_9x_0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'204'!OSRRefE21_9x_1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'204'!OSRRefE21_9x_2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'204'!OSRRefE21_9x_3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'204'!OSRRefE21_9x_4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'204'!OSRRefE21_9x_5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'415'!OSRRefG11x</vt:lpstr>
      <vt:lpstr>'418'!OSRRefG11x</vt:lpstr>
      <vt:lpstr>'425'!OSRRefG11x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2022-01-14T20:28:31Z</dcterms:created>
  <dcterms:modified xsi:type="dcterms:W3CDTF">2022-01-14T20:28:31Z</dcterms:modified>
</cp:coreProperties>
</file>